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70" windowHeight="12525"/>
  </bookViews>
  <sheets>
    <sheet name="27.04.2024 уточчччч" sheetId="19" r:id="rId1"/>
  </sheets>
  <definedNames>
    <definedName name="Z_D9A49370_59EF_4DF5_B20D_A46D1CBDF607_.wvu.PrintTitles" localSheetId="0" hidden="1">'27.04.2024 уточчччч'!$5:$8</definedName>
    <definedName name="Z_D9A49370_59EF_4DF5_B20D_A46D1CBDF607_.wvu.Rows" localSheetId="0" hidden="1">'27.04.2024 уточчччч'!#REF!</definedName>
    <definedName name="_xlnm.Print_Titles" localSheetId="0">'27.04.2024 уточчччч'!$5:$9</definedName>
    <definedName name="_xlnm.Print_Area" localSheetId="0">'27.04.2024 уточчччч'!$A$1:$AJ$165</definedName>
  </definedNames>
  <calcPr calcId="124519"/>
</workbook>
</file>

<file path=xl/calcChain.xml><?xml version="1.0" encoding="utf-8"?>
<calcChain xmlns="http://schemas.openxmlformats.org/spreadsheetml/2006/main">
  <c r="AL20" i="19"/>
  <c r="G108" l="1"/>
  <c r="AB108" s="1"/>
  <c r="AB110" s="1"/>
  <c r="G104"/>
  <c r="G103"/>
  <c r="G98"/>
  <c r="G87"/>
  <c r="AB87" s="1"/>
  <c r="AC87" s="1"/>
  <c r="AC88" s="1"/>
  <c r="G80"/>
  <c r="G77"/>
  <c r="G78" s="1"/>
  <c r="G74"/>
  <c r="G75" s="1"/>
  <c r="G65"/>
  <c r="AB65" s="1"/>
  <c r="AC65" s="1"/>
  <c r="AC66" s="1"/>
  <c r="G60"/>
  <c r="G53"/>
  <c r="G54" s="1"/>
  <c r="G45"/>
  <c r="AB45" s="1"/>
  <c r="AC45" s="1"/>
  <c r="AC46" s="1"/>
  <c r="G42"/>
  <c r="AB42" s="1"/>
  <c r="AC42" s="1"/>
  <c r="G34"/>
  <c r="AB34" s="1"/>
  <c r="AC34" s="1"/>
  <c r="AC35" s="1"/>
  <c r="AC37" s="1"/>
  <c r="G28"/>
  <c r="AB28" s="1"/>
  <c r="G27"/>
  <c r="AB27" s="1"/>
  <c r="G26"/>
  <c r="V164"/>
  <c r="U164"/>
  <c r="X162"/>
  <c r="X159"/>
  <c r="V158"/>
  <c r="X158" s="1"/>
  <c r="X157"/>
  <c r="X156"/>
  <c r="V155"/>
  <c r="X155" s="1"/>
  <c r="X125" s="1"/>
  <c r="X127" s="1"/>
  <c r="G155"/>
  <c r="G125" s="1"/>
  <c r="AD153"/>
  <c r="AE151"/>
  <c r="AD151" s="1"/>
  <c r="AD126" s="1"/>
  <c r="AD149"/>
  <c r="V148"/>
  <c r="X148" s="1"/>
  <c r="U148"/>
  <c r="AD146"/>
  <c r="AD144"/>
  <c r="AB141"/>
  <c r="AD141" s="1"/>
  <c r="AB139"/>
  <c r="AD139" s="1"/>
  <c r="AA139"/>
  <c r="V138"/>
  <c r="X138" s="1"/>
  <c r="U138"/>
  <c r="U122" s="1"/>
  <c r="U124" s="1"/>
  <c r="V137"/>
  <c r="V126" s="1"/>
  <c r="U137"/>
  <c r="AB135"/>
  <c r="AD135" s="1"/>
  <c r="AA135"/>
  <c r="AB134"/>
  <c r="AD134" s="1"/>
  <c r="AA134"/>
  <c r="AA123" s="1"/>
  <c r="AE129"/>
  <c r="AE125" s="1"/>
  <c r="AE127" s="1"/>
  <c r="AE126"/>
  <c r="AB126"/>
  <c r="AA126"/>
  <c r="Y126"/>
  <c r="X126"/>
  <c r="U126"/>
  <c r="G126"/>
  <c r="F126"/>
  <c r="AB125"/>
  <c r="AA125"/>
  <c r="Y125"/>
  <c r="F125"/>
  <c r="F127" s="1"/>
  <c r="G123"/>
  <c r="F123"/>
  <c r="S122"/>
  <c r="R122"/>
  <c r="Q122"/>
  <c r="P122"/>
  <c r="O122"/>
  <c r="N122"/>
  <c r="M122"/>
  <c r="L122"/>
  <c r="K122"/>
  <c r="J122"/>
  <c r="I122"/>
  <c r="H122"/>
  <c r="G122"/>
  <c r="F122"/>
  <c r="F124" s="1"/>
  <c r="Y120"/>
  <c r="S120"/>
  <c r="R120"/>
  <c r="Q120"/>
  <c r="P120"/>
  <c r="O120"/>
  <c r="N120"/>
  <c r="M120"/>
  <c r="L120"/>
  <c r="K120"/>
  <c r="J120"/>
  <c r="I120"/>
  <c r="H120"/>
  <c r="G120"/>
  <c r="F120"/>
  <c r="W118"/>
  <c r="V118" s="1"/>
  <c r="G118" s="1"/>
  <c r="X117"/>
  <c r="V117"/>
  <c r="T117"/>
  <c r="G117"/>
  <c r="E117"/>
  <c r="AC114"/>
  <c r="AB114"/>
  <c r="Z114"/>
  <c r="W114"/>
  <c r="R114"/>
  <c r="Q114"/>
  <c r="P114"/>
  <c r="N114"/>
  <c r="M114"/>
  <c r="L114"/>
  <c r="J114"/>
  <c r="I114"/>
  <c r="H114"/>
  <c r="AD113"/>
  <c r="AD114" s="1"/>
  <c r="X113"/>
  <c r="G113"/>
  <c r="G114" s="1"/>
  <c r="E113"/>
  <c r="E114" s="1"/>
  <c r="V112"/>
  <c r="X112" s="1"/>
  <c r="X114" s="1"/>
  <c r="T112"/>
  <c r="T114" s="1"/>
  <c r="S110"/>
  <c r="R110"/>
  <c r="Q110"/>
  <c r="P110"/>
  <c r="O110"/>
  <c r="N110"/>
  <c r="M110"/>
  <c r="L110"/>
  <c r="J110"/>
  <c r="I110"/>
  <c r="H110"/>
  <c r="AD109"/>
  <c r="X109"/>
  <c r="G109"/>
  <c r="E109"/>
  <c r="E108"/>
  <c r="Z108" s="1"/>
  <c r="Z110" s="1"/>
  <c r="V107"/>
  <c r="X107" s="1"/>
  <c r="T107"/>
  <c r="T110" s="1"/>
  <c r="E105"/>
  <c r="Z104"/>
  <c r="AB103"/>
  <c r="AC103" s="1"/>
  <c r="Z103"/>
  <c r="S101"/>
  <c r="R101"/>
  <c r="Q101"/>
  <c r="P101"/>
  <c r="O101"/>
  <c r="N101"/>
  <c r="M101"/>
  <c r="L101"/>
  <c r="J101"/>
  <c r="I101"/>
  <c r="H101"/>
  <c r="AD100"/>
  <c r="X100"/>
  <c r="G100"/>
  <c r="E100"/>
  <c r="Z99"/>
  <c r="Z101" s="1"/>
  <c r="W99"/>
  <c r="W22" s="1"/>
  <c r="G99"/>
  <c r="X97"/>
  <c r="X99" s="1"/>
  <c r="V97"/>
  <c r="V99" s="1"/>
  <c r="V101" s="1"/>
  <c r="E97"/>
  <c r="T97" s="1"/>
  <c r="T99" s="1"/>
  <c r="T101" s="1"/>
  <c r="E94"/>
  <c r="Z94" s="1"/>
  <c r="E93"/>
  <c r="Z93" s="1"/>
  <c r="U91"/>
  <c r="R91"/>
  <c r="Q91"/>
  <c r="P91"/>
  <c r="N91"/>
  <c r="M91"/>
  <c r="L91"/>
  <c r="J91"/>
  <c r="I91"/>
  <c r="H91"/>
  <c r="G91"/>
  <c r="E91"/>
  <c r="V90"/>
  <c r="V91" s="1"/>
  <c r="T90"/>
  <c r="T91" s="1"/>
  <c r="E88"/>
  <c r="Z87"/>
  <c r="Z88" s="1"/>
  <c r="V85"/>
  <c r="E85"/>
  <c r="AB84"/>
  <c r="Z84"/>
  <c r="AD83"/>
  <c r="AC83"/>
  <c r="Z83"/>
  <c r="X83"/>
  <c r="X85" s="1"/>
  <c r="G83"/>
  <c r="G85" s="1"/>
  <c r="Z81"/>
  <c r="G81"/>
  <c r="E81"/>
  <c r="AC80"/>
  <c r="AC81" s="1"/>
  <c r="AB80"/>
  <c r="AB81" s="1"/>
  <c r="Z78"/>
  <c r="R78"/>
  <c r="Q78"/>
  <c r="P78"/>
  <c r="O78"/>
  <c r="N78"/>
  <c r="M78"/>
  <c r="L78"/>
  <c r="J78"/>
  <c r="I78"/>
  <c r="H78"/>
  <c r="E78"/>
  <c r="Z75"/>
  <c r="E75"/>
  <c r="V73"/>
  <c r="V75" s="1"/>
  <c r="T73"/>
  <c r="T75" s="1"/>
  <c r="V71"/>
  <c r="T71"/>
  <c r="AD70"/>
  <c r="AD23" s="1"/>
  <c r="X70"/>
  <c r="X71" s="1"/>
  <c r="G70"/>
  <c r="E70"/>
  <c r="Z69"/>
  <c r="Z71" s="1"/>
  <c r="G69"/>
  <c r="E69"/>
  <c r="AB68"/>
  <c r="AC68" s="1"/>
  <c r="AC69" s="1"/>
  <c r="AC71" s="1"/>
  <c r="R66"/>
  <c r="Q66"/>
  <c r="P66"/>
  <c r="O66"/>
  <c r="N66"/>
  <c r="M66"/>
  <c r="L66"/>
  <c r="J66"/>
  <c r="I66"/>
  <c r="H66"/>
  <c r="E66"/>
  <c r="Z65"/>
  <c r="Z66" s="1"/>
  <c r="T64"/>
  <c r="T66" s="1"/>
  <c r="G64"/>
  <c r="V64" s="1"/>
  <c r="V62"/>
  <c r="T62"/>
  <c r="R62"/>
  <c r="Q62"/>
  <c r="P62"/>
  <c r="O62"/>
  <c r="N62"/>
  <c r="M62"/>
  <c r="L62"/>
  <c r="J62"/>
  <c r="I62"/>
  <c r="H62"/>
  <c r="AD61"/>
  <c r="X61"/>
  <c r="X62" s="1"/>
  <c r="G61"/>
  <c r="G62" s="1"/>
  <c r="E61"/>
  <c r="E62" s="1"/>
  <c r="AB60"/>
  <c r="AC60" s="1"/>
  <c r="AC62" s="1"/>
  <c r="Z60"/>
  <c r="Z62" s="1"/>
  <c r="X58"/>
  <c r="W58"/>
  <c r="V58"/>
  <c r="T58"/>
  <c r="S58"/>
  <c r="R58"/>
  <c r="Q58"/>
  <c r="P58"/>
  <c r="O58"/>
  <c r="N58"/>
  <c r="M58"/>
  <c r="L58"/>
  <c r="J58"/>
  <c r="I58"/>
  <c r="H58"/>
  <c r="G58"/>
  <c r="E58"/>
  <c r="S54"/>
  <c r="R54"/>
  <c r="Q54"/>
  <c r="P54"/>
  <c r="O54"/>
  <c r="N54"/>
  <c r="N20" s="1"/>
  <c r="M54"/>
  <c r="L54"/>
  <c r="J54"/>
  <c r="I54"/>
  <c r="H54"/>
  <c r="E53"/>
  <c r="Z53" s="1"/>
  <c r="Z54" s="1"/>
  <c r="V49"/>
  <c r="V54" s="1"/>
  <c r="T49"/>
  <c r="T54" s="1"/>
  <c r="Z46"/>
  <c r="R46"/>
  <c r="Q46"/>
  <c r="P46"/>
  <c r="N46"/>
  <c r="M46"/>
  <c r="L46"/>
  <c r="J46"/>
  <c r="I46"/>
  <c r="H46"/>
  <c r="G46"/>
  <c r="E46"/>
  <c r="R43"/>
  <c r="Q43"/>
  <c r="P43"/>
  <c r="L43"/>
  <c r="J43"/>
  <c r="I43"/>
  <c r="H43"/>
  <c r="G43"/>
  <c r="Z42"/>
  <c r="AB41"/>
  <c r="AC41" s="1"/>
  <c r="E41"/>
  <c r="E43" s="1"/>
  <c r="R37"/>
  <c r="Q37"/>
  <c r="P37"/>
  <c r="O37"/>
  <c r="N37"/>
  <c r="M37"/>
  <c r="L37"/>
  <c r="J37"/>
  <c r="I37"/>
  <c r="H37"/>
  <c r="AD36"/>
  <c r="X36"/>
  <c r="G36"/>
  <c r="E36"/>
  <c r="W35"/>
  <c r="W37" s="1"/>
  <c r="G35"/>
  <c r="G37" s="1"/>
  <c r="E34"/>
  <c r="Z34" s="1"/>
  <c r="Z35" s="1"/>
  <c r="Z37" s="1"/>
  <c r="V33"/>
  <c r="V35" s="1"/>
  <c r="V37" s="1"/>
  <c r="E33"/>
  <c r="T33" s="1"/>
  <c r="T35" s="1"/>
  <c r="W31"/>
  <c r="AD30"/>
  <c r="V30"/>
  <c r="G30" s="1"/>
  <c r="E30"/>
  <c r="T29"/>
  <c r="T31" s="1"/>
  <c r="R29"/>
  <c r="Q29"/>
  <c r="P29"/>
  <c r="N29"/>
  <c r="M29"/>
  <c r="L29"/>
  <c r="Z28"/>
  <c r="Z27"/>
  <c r="AB26"/>
  <c r="AC26" s="1"/>
  <c r="E26"/>
  <c r="Z26" s="1"/>
  <c r="AB25"/>
  <c r="AC25" s="1"/>
  <c r="V25"/>
  <c r="V29" s="1"/>
  <c r="E25"/>
  <c r="E29" s="1"/>
  <c r="E31" s="1"/>
  <c r="AB23"/>
  <c r="Z23"/>
  <c r="V23"/>
  <c r="T23"/>
  <c r="AJ20"/>
  <c r="K20"/>
  <c r="G18"/>
  <c r="E18"/>
  <c r="AB17"/>
  <c r="AB18" s="1"/>
  <c r="Z17"/>
  <c r="Z18" s="1"/>
  <c r="G15"/>
  <c r="G12" s="1"/>
  <c r="E15"/>
  <c r="V14"/>
  <c r="V15" s="1"/>
  <c r="V12" s="1"/>
  <c r="T14"/>
  <c r="T15" s="1"/>
  <c r="T12" s="1"/>
  <c r="E12"/>
  <c r="U125" l="1"/>
  <c r="U127" s="1"/>
  <c r="G94"/>
  <c r="AB94" s="1"/>
  <c r="X33"/>
  <c r="X35" s="1"/>
  <c r="AC43"/>
  <c r="Q20"/>
  <c r="G71"/>
  <c r="AB123"/>
  <c r="AB127"/>
  <c r="G93"/>
  <c r="G105"/>
  <c r="AD25"/>
  <c r="J20"/>
  <c r="E54"/>
  <c r="X101"/>
  <c r="G23"/>
  <c r="E35"/>
  <c r="E37" s="1"/>
  <c r="R20"/>
  <c r="S20"/>
  <c r="Z95"/>
  <c r="Z105"/>
  <c r="G127"/>
  <c r="AD123"/>
  <c r="V114"/>
  <c r="P20"/>
  <c r="X25"/>
  <c r="X29" s="1"/>
  <c r="H20"/>
  <c r="G66"/>
  <c r="E71"/>
  <c r="X73"/>
  <c r="X75" s="1"/>
  <c r="E110"/>
  <c r="AA122"/>
  <c r="AA124" s="1"/>
  <c r="AA127"/>
  <c r="V122"/>
  <c r="V124" s="1"/>
  <c r="O20"/>
  <c r="I20"/>
  <c r="X110"/>
  <c r="AB120"/>
  <c r="V125"/>
  <c r="V127" s="1"/>
  <c r="X120"/>
  <c r="AB12"/>
  <c r="V31"/>
  <c r="X30"/>
  <c r="X23" s="1"/>
  <c r="AB43"/>
  <c r="M20"/>
  <c r="Z85"/>
  <c r="X90"/>
  <c r="X91" s="1"/>
  <c r="E95"/>
  <c r="V120"/>
  <c r="G124"/>
  <c r="Y127"/>
  <c r="G110"/>
  <c r="G88"/>
  <c r="AC84"/>
  <c r="AC85" s="1"/>
  <c r="AD60"/>
  <c r="AD62" s="1"/>
  <c r="AC27"/>
  <c r="AD27" s="1"/>
  <c r="T37"/>
  <c r="T20" s="1"/>
  <c r="T22"/>
  <c r="G101"/>
  <c r="AD122"/>
  <c r="AC28"/>
  <c r="AD28" s="1"/>
  <c r="X37"/>
  <c r="AC94"/>
  <c r="AD94" s="1"/>
  <c r="V66"/>
  <c r="X64"/>
  <c r="X66" s="1"/>
  <c r="AB29"/>
  <c r="E99"/>
  <c r="E22"/>
  <c r="AB66"/>
  <c r="AB85"/>
  <c r="W101"/>
  <c r="W20" s="1"/>
  <c r="X122"/>
  <c r="X124" s="1"/>
  <c r="X14"/>
  <c r="X15" s="1"/>
  <c r="X12" s="1"/>
  <c r="AD17"/>
  <c r="L20"/>
  <c r="V22"/>
  <c r="G25"/>
  <c r="AD26"/>
  <c r="AD34"/>
  <c r="AD35" s="1"/>
  <c r="AD37" s="1"/>
  <c r="AB35"/>
  <c r="AB37" s="1"/>
  <c r="Z41"/>
  <c r="Z43" s="1"/>
  <c r="AD42"/>
  <c r="AD45"/>
  <c r="AD46" s="1"/>
  <c r="X49"/>
  <c r="X54" s="1"/>
  <c r="AB62"/>
  <c r="AD65"/>
  <c r="AD66" s="1"/>
  <c r="AD68"/>
  <c r="AD69" s="1"/>
  <c r="AD71" s="1"/>
  <c r="AB69"/>
  <c r="AB71" s="1"/>
  <c r="AB74"/>
  <c r="AB77"/>
  <c r="AD87"/>
  <c r="AD88" s="1"/>
  <c r="AB88"/>
  <c r="AD103"/>
  <c r="AD108"/>
  <c r="AD110" s="1"/>
  <c r="V110"/>
  <c r="AE120"/>
  <c r="AD129"/>
  <c r="AB46"/>
  <c r="U120"/>
  <c r="AA120"/>
  <c r="Z12"/>
  <c r="E23"/>
  <c r="Z25"/>
  <c r="AD41"/>
  <c r="AB53"/>
  <c r="AD80"/>
  <c r="AD81" s="1"/>
  <c r="AB98"/>
  <c r="AB104"/>
  <c r="AC108"/>
  <c r="AC110" s="1"/>
  <c r="AB122"/>
  <c r="AB124" s="1"/>
  <c r="AD124" l="1"/>
  <c r="X31"/>
  <c r="X20" s="1"/>
  <c r="V20"/>
  <c r="AD84"/>
  <c r="AD85" s="1"/>
  <c r="AD43"/>
  <c r="AD29"/>
  <c r="AD31" s="1"/>
  <c r="AC98"/>
  <c r="AC99" s="1"/>
  <c r="AC101" s="1"/>
  <c r="AB99"/>
  <c r="AB101" s="1"/>
  <c r="Z22"/>
  <c r="Z29"/>
  <c r="Z31" s="1"/>
  <c r="Z20" s="1"/>
  <c r="AD120"/>
  <c r="AD125"/>
  <c r="AD127" s="1"/>
  <c r="AB93"/>
  <c r="AB22" s="1"/>
  <c r="G95"/>
  <c r="AC74"/>
  <c r="AC75" s="1"/>
  <c r="AB75"/>
  <c r="AC104"/>
  <c r="AC105" s="1"/>
  <c r="G29"/>
  <c r="G31" s="1"/>
  <c r="G22"/>
  <c r="AD18"/>
  <c r="AD12"/>
  <c r="E101"/>
  <c r="E20" s="1"/>
  <c r="AB31"/>
  <c r="X22"/>
  <c r="AC29"/>
  <c r="AC31" s="1"/>
  <c r="AB78"/>
  <c r="AC77"/>
  <c r="AC78" s="1"/>
  <c r="AB54"/>
  <c r="AC53"/>
  <c r="AC54" s="1"/>
  <c r="AB105"/>
  <c r="AD104" l="1"/>
  <c r="AD105" s="1"/>
  <c r="AD74"/>
  <c r="AD75" s="1"/>
  <c r="AD98"/>
  <c r="AD99" s="1"/>
  <c r="AD101" s="1"/>
  <c r="AD53"/>
  <c r="AD77"/>
  <c r="AD78" s="1"/>
  <c r="G20"/>
  <c r="AC93"/>
  <c r="AC95" s="1"/>
  <c r="AC20" s="1"/>
  <c r="AB95"/>
  <c r="AB20" s="1"/>
  <c r="AC22" l="1"/>
  <c r="AD93"/>
  <c r="AD95" s="1"/>
  <c r="AD54"/>
  <c r="AD20" s="1"/>
  <c r="AD22" l="1"/>
</calcChain>
</file>

<file path=xl/sharedStrings.xml><?xml version="1.0" encoding="utf-8"?>
<sst xmlns="http://schemas.openxmlformats.org/spreadsheetml/2006/main" count="269" uniqueCount="162">
  <si>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</si>
  <si>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</si>
  <si>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</si>
  <si>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</si>
  <si>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</si>
  <si>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</si>
  <si>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</si>
  <si>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</si>
  <si>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</si>
  <si>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</si>
  <si>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</si>
  <si>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</si>
  <si>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</si>
  <si>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</si>
  <si>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</si>
  <si>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</si>
  <si>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Алексеевский городской округ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</si>
  <si>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</si>
  <si>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</si>
  <si>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</si>
  <si>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</si>
  <si>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</si>
  <si>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</si>
  <si>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</si>
  <si>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</si>
  <si>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</si>
  <si>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</si>
  <si>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</si>
  <si>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</si>
  <si>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</si>
  <si>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</si>
  <si>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</si>
  <si>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Ракитянский район</t>
  </si>
  <si>
    <t>Борисовка - Пролетарский,                                        км 27+410 - км 30+230</t>
  </si>
  <si>
    <t>Старооскольский городской округ</t>
  </si>
  <si>
    <t>Шебекинский городской округ</t>
  </si>
  <si>
    <t>Яковлевский городской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</si>
  <si>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</si>
  <si>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</si>
  <si>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 xml:space="preserve">      </t>
  </si>
  <si>
    <t>Подъезд к селу Грушевка,                                             км 0+000 - км 3+600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</si>
  <si>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</si>
  <si>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</si>
  <si>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>«Головчино - Доброполье» - Горьковский,              км 0+000 - км 1+700</t>
  </si>
  <si>
    <t>Ивнянский район</t>
  </si>
  <si>
    <t>Красненский район</t>
  </si>
  <si>
    <t>ИТОГО по Ракитянскому району:</t>
  </si>
  <si>
    <t>Ульяновка - Голофеевка,                                км 0+000 - км 6+600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</si>
  <si>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</si>
  <si>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</si>
  <si>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</si>
  <si>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</si>
  <si>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</si>
  <si>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</si>
  <si>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</si>
  <si>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 xml:space="preserve"> - регионального значения </t>
  </si>
  <si>
    <t xml:space="preserve"> - местного значения</t>
  </si>
  <si>
    <t>Автодороги местного значения</t>
  </si>
  <si>
    <t>«Белгород - Грайворон» - Козинка,                      км 37+000 - км 42+630</t>
  </si>
  <si>
    <t xml:space="preserve">Автодороги регионального значения </t>
  </si>
  <si>
    <t>Подъезд к с. Грушевка</t>
  </si>
  <si>
    <t>«Крым» - Ивня - Ракитное - Курасовка,                 км 0+000 - км 2+300</t>
  </si>
  <si>
    <t>Короча - Чернянка - Красное - Новосолдатка, км 0+000 - км 3+900</t>
  </si>
  <si>
    <t>Владимировка - Новоалександровка - Ларисовка, км 1+820 - км 8+630</t>
  </si>
  <si>
    <t>Артельное - Булановка - Бершаково,                          км 0+000 - км 8+320</t>
  </si>
  <si>
    <t>город Белгород</t>
  </si>
  <si>
    <t>резерв</t>
  </si>
  <si>
    <t>муниципаль-ный бюджет</t>
  </si>
  <si>
    <t xml:space="preserve">ВСЕГО  по автодорогам, </t>
  </si>
  <si>
    <t xml:space="preserve"> Чернянский район</t>
  </si>
  <si>
    <t>Прохоровский район</t>
  </si>
  <si>
    <t>Новооскольский городской округ</t>
  </si>
  <si>
    <t>50,9</t>
  </si>
  <si>
    <t xml:space="preserve"> </t>
  </si>
  <si>
    <t>Краснояружский район</t>
  </si>
  <si>
    <t xml:space="preserve">Чернянский район </t>
  </si>
  <si>
    <t>Ремонт путепровода через железную дорогу  на ул. Революционная в городе Алексеевка</t>
  </si>
  <si>
    <t xml:space="preserve">Ремонт моста через р. Искринка                                                  на км 9+920 (левый)                                               автодороги Белгород - Грайворон - Козинка 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</si>
  <si>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</si>
  <si>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</si>
  <si>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 xml:space="preserve">Капитальный ремонт путепровода через железную дорогу на ул. Кооперативная                   в городе Новый Оскол </t>
  </si>
  <si>
    <t>Ремонт моста через р.Северский Донец   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</si>
  <si>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 II-II (ул. Ерошенко) в городе Старый Оскол </t>
  </si>
  <si>
    <t xml:space="preserve">Ремонт путепровода над автомобильной дорогой  и трамвайными путями                                  на км 15+700 автодороги  Магистраль 1-1                    </t>
  </si>
  <si>
    <t>Прохоровский  район</t>
  </si>
  <si>
    <t>Подольхи - Гнездиловка - Черновка,                      км 8+300 - км 11+800</t>
  </si>
  <si>
    <t>«Короча - Чернянка - Красное» - Новая Масловка, км 0+000 - км 5+000</t>
  </si>
  <si>
    <t xml:space="preserve">Региональный проект «Региональная и местная дорожная сеть», входящий в национальный проект </t>
  </si>
  <si>
    <t>Капитально отремонтировано автодорог</t>
  </si>
  <si>
    <t>Иващенково - Березки, км 0+000 - км 2+500</t>
  </si>
  <si>
    <t>Отремонтировано автомобильных дорог</t>
  </si>
  <si>
    <t xml:space="preserve">Разумное - Севрюково - Новосадовый,                                                       км 8+245 - км 14+635 </t>
  </si>
  <si>
    <t>«Новый Оскол - Валуйки - Ровеньки» - Колесников, км 0+000 - км 3+000</t>
  </si>
  <si>
    <t xml:space="preserve">Беломестное - Слоновка - Николаевка - Львовка, км 0+000 - км 12+020;  км 23+485 - км 25+215                                       </t>
  </si>
  <si>
    <t>Ровеньский район</t>
  </si>
  <si>
    <t xml:space="preserve">Капитальный ремонт моста                                                            через р. Искринка на км 9+920 (правый)                                                                   автодороги Белгород - Грайворон - Козинка </t>
  </si>
  <si>
    <t xml:space="preserve">Ремонт моста через суходол                                  на км 10+600 автодороги Скородное - Кочки </t>
  </si>
  <si>
    <t>Ремонт моста через р. Корень на км 8+900                                                                    автодороги Самойловка - Кощеево - Хмелевое</t>
  </si>
  <si>
    <t xml:space="preserve">Ремонт моста через р. Короча на км 0+000              автодороги Подъезд к селу Бехтеевка </t>
  </si>
  <si>
    <t xml:space="preserve">Ремонт путепровода над автодорогой            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</si>
  <si>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</si>
  <si>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                         на км 4+700 Магистрали 1-1                                                </t>
  </si>
  <si>
    <t>Ремонт моста через р. Боровая Потудань                на км 0+330 автодороги  Владимировка - Боровая</t>
  </si>
  <si>
    <t xml:space="preserve"> - капитально отремонтировано</t>
  </si>
  <si>
    <t xml:space="preserve"> - отремонтировано</t>
  </si>
  <si>
    <t>Приложение  № 1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и дорожной сети Белгородской области»</t>
  </si>
  <si>
    <t>ИТОГО по Белгородскому району</t>
  </si>
  <si>
    <t>ИТОГО по Алексеевскому городскому округу</t>
  </si>
  <si>
    <t>ИТОГО по Борисовскому району</t>
  </si>
  <si>
    <t>ИТОГО по Валуйскому городскому округу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</si>
  <si>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</si>
  <si>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</si>
  <si>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</si>
  <si>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</si>
  <si>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Корочанскому району</t>
  </si>
  <si>
    <t>ИТОГО по Ивнянскому району</t>
  </si>
  <si>
    <t>ИТОГО по Красненскому району</t>
  </si>
  <si>
    <t>ИТОГО по Красногвардейскому району</t>
  </si>
  <si>
    <t>ИТОГО по Краснояружскому району</t>
  </si>
  <si>
    <t>ИТОГО по Новооскольскому городскому округу</t>
  </si>
  <si>
    <t>ИТОГО по Прохоровскому району</t>
  </si>
  <si>
    <t>ИТОГО по Ровеньскому району</t>
  </si>
  <si>
    <t>ИТОГО по Старооскольскому городскому округу</t>
  </si>
  <si>
    <t>ИТОГО по Шебекинскому городскому округу</t>
  </si>
  <si>
    <t>ИТОГО по Яковлевскому городскому округу</t>
  </si>
  <si>
    <t>Красная Яруга - Степное - Семейный -                       Илек-Кошары, км 3+700 - 6+800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</si>
  <si>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</si>
  <si>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 xml:space="preserve">ВСЕГО  по искусственным сооружениям  </t>
  </si>
  <si>
    <t xml:space="preserve">Капитальный ремонт путепровода                                            через железную дорогу на км 40+700                                             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</si>
  <si>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</si>
  <si>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66+400 автодороги Белгород - Грайворон - Козинка</t>
  </si>
  <si>
    <t xml:space="preserve">Ремонт моста через реку Оскол на участке                         км  46+526 автодороги  Короча - Чернянка - Красное </t>
  </si>
  <si>
    <t>Ремонт моста через реку Нежеголь                         на ул. Пески в с. Нежеголь</t>
  </si>
  <si>
    <t xml:space="preserve">Перечень объектов по ремонту  автомобильных дорог и искусственных сооружений на них на 2024 - 2026 годы в рамках национального проекта «Безопасные качественные дороги» </t>
  </si>
  <si>
    <t>ИТОГО по Чернянскому району</t>
  </si>
  <si>
    <t>ИТОГО по городу Белгороду</t>
  </si>
  <si>
    <t xml:space="preserve"> - регионального значения, из них: </t>
  </si>
  <si>
    <t xml:space="preserve"> - местного значения, из них: </t>
  </si>
  <si>
    <t xml:space="preserve">«Бирюч - Калиново - Никитовка» - Арнаутово, км 0+000 -  км 2+800 </t>
  </si>
  <si>
    <t>«Крым» - Весёлая Лопань - Бессоновка,                км 0+030 - км 1+880</t>
  </si>
  <si>
    <t>Стрелецкое - Раково,  км 0+000 -  км 5+050</t>
  </si>
  <si>
    <t>«Новый Оскол - Валуйки - Ровеньки» - Принцевка, км 0+032 - км 0+900</t>
  </si>
  <si>
    <t>«Валуйки - Казинка - Вериговка» - Конопляновка» - Гладково,                                    км 0+000 - км 4+764</t>
  </si>
  <si>
    <t>Скородное - Кочки, км 7+100 - км 11+000</t>
  </si>
  <si>
    <t>«Короча - Чернянка - Красное» - Бубново - Васильдол, км 0+000 - км 4+100</t>
  </si>
  <si>
    <t>Красное - Польниково, км 0+000 - км 4+200</t>
  </si>
  <si>
    <t>«Котляров - Ливенка» - Ковалев, км 0+000 - км 4+400</t>
  </si>
  <si>
    <t>Шаталовка - Потудань, км 0+000 - км 6+000</t>
  </si>
  <si>
    <t>Красный Остров - Русская Халань,                         км 0+000 - км 3+800</t>
  </si>
  <si>
    <t>Шебекино - граница Украины, км 1+986 -                    км 3+625</t>
  </si>
  <si>
    <t>Жданов - Гостищево, км 0+000 - км 3+230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</si>
  <si>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</si>
  <si>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Красное» - Филиппово - Верхний Моисей</t>
  </si>
  <si>
    <t>Капитальный ремонт моста через р. Ворскла на км 0+250 автомобильной дороги Борисовка - Пролетарский</t>
  </si>
  <si>
    <t>«Крым» - Комсомольский - Красиво,                                 км 0+020 - км 2+975; км 6+670 - км 9+020</t>
  </si>
  <si>
    <t>Борисовка - Пролетарский - Октябрьская Готня - станция Кулиновка - Красный Куток, км 0+015 - км 4+000</t>
  </si>
  <si>
    <t xml:space="preserve"> «Волоконовка - Ливенка - Никитовка» - Пыточный - Покровка - Шеншиновка,                     км 6+850 - км 14+000</t>
  </si>
  <si>
    <t>Ивня - Песчаное - Череново,                                      км 0+000 - км 3+070</t>
  </si>
  <si>
    <t xml:space="preserve">Новый Оскол - Ниновка, км 0+000 - км 2+500  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</si>
  <si>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</si>
  <si>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</si>
  <si>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приложение по опорной сети в СКДФ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</si>
</sst>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0.0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  <xf numFmtId="0" fontId="2" fillId="0" borderId="0"/>
    <xf numFmtId="0" fontId="10" fillId="0" borderId="0"/>
    <xf numFmtId="0" fontId="17" fillId="0" borderId="0"/>
  </cellStyleXfs>
  <cellXfs count="169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2" fillId="0" borderId="0" xfId="2" applyFont="1" applyFill="1" applyAlignment="1">
      <alignment vertical="center" wrapText="1"/>
    </xf>
    <xf numFmtId="0" fontId="12" fillId="0" borderId="0" xfId="2" applyFont="1" applyAlignment="1">
      <alignment vertical="center" wrapText="1"/>
    </xf>
    <xf numFmtId="0" fontId="2" fillId="0" borderId="0" xfId="2" applyFill="1"/>
    <xf numFmtId="0" fontId="12" fillId="0" borderId="0" xfId="2" applyFont="1" applyFill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12" fillId="0" borderId="0" xfId="2" applyFont="1"/>
    <xf numFmtId="0" fontId="12" fillId="0" borderId="0" xfId="2" applyFont="1" applyFill="1"/>
    <xf numFmtId="0" fontId="12" fillId="2" borderId="0" xfId="2" applyFont="1" applyFill="1"/>
    <xf numFmtId="0" fontId="4" fillId="0" borderId="0" xfId="2" applyFont="1" applyFill="1" applyAlignment="1">
      <alignment horizontal="center"/>
    </xf>
    <xf numFmtId="0" fontId="8" fillId="0" borderId="2" xfId="2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2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171" fontId="14" fillId="0" borderId="1" xfId="0" applyNumberFormat="1" applyFont="1" applyBorder="1" applyAlignment="1">
      <alignment horizontal="center" vertical="center" wrapText="1"/>
    </xf>
    <xf numFmtId="172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168" fontId="8" fillId="0" borderId="4" xfId="2" applyNumberFormat="1" applyFont="1" applyFill="1" applyBorder="1" applyAlignment="1">
      <alignment horizontal="center" vertical="center" wrapText="1"/>
    </xf>
    <xf numFmtId="164" fontId="9" fillId="0" borderId="4" xfId="1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justify" wrapText="1"/>
    </xf>
    <xf numFmtId="0" fontId="14" fillId="0" borderId="4" xfId="0" applyFont="1" applyBorder="1" applyAlignment="1">
      <alignment vertical="center" wrapText="1"/>
    </xf>
    <xf numFmtId="0" fontId="9" fillId="0" borderId="3" xfId="2" applyFont="1" applyFill="1" applyBorder="1"/>
    <xf numFmtId="0" fontId="16" fillId="0" borderId="4" xfId="0" applyFont="1" applyBorder="1" applyAlignment="1">
      <alignment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justify" wrapText="1"/>
    </xf>
    <xf numFmtId="172" fontId="9" fillId="0" borderId="1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164" fontId="9" fillId="0" borderId="4" xfId="2" applyNumberFormat="1" applyFont="1" applyFill="1" applyBorder="1" applyAlignment="1">
      <alignment horizontal="center" vertical="center" wrapText="1"/>
    </xf>
    <xf numFmtId="3" fontId="9" fillId="0" borderId="4" xfId="2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left" vertical="top" wrapText="1"/>
    </xf>
    <xf numFmtId="3" fontId="8" fillId="0" borderId="4" xfId="2" applyNumberFormat="1" applyFont="1" applyFill="1" applyBorder="1" applyAlignment="1">
      <alignment horizontal="center" vertical="center" wrapText="1"/>
    </xf>
    <xf numFmtId="0" fontId="15" fillId="0" borderId="21" xfId="0" applyNumberFormat="1" applyFont="1" applyBorder="1" applyAlignment="1">
      <alignment horizontal="center" vertical="top"/>
    </xf>
    <xf numFmtId="0" fontId="7" fillId="0" borderId="9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3" fillId="0" borderId="22" xfId="2" applyFont="1" applyBorder="1"/>
    <xf numFmtId="0" fontId="8" fillId="0" borderId="2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172" fontId="8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vertical="center" wrapText="1"/>
    </xf>
    <xf numFmtId="172" fontId="8" fillId="0" borderId="26" xfId="2" applyNumberFormat="1" applyFont="1" applyFill="1" applyBorder="1" applyAlignment="1">
      <alignment horizontal="center" vertical="center" wrapText="1"/>
    </xf>
    <xf numFmtId="0" fontId="13" fillId="0" borderId="26" xfId="2" applyFont="1" applyBorder="1" applyAlignment="1">
      <alignment vertical="center" wrapText="1"/>
    </xf>
    <xf numFmtId="171" fontId="8" fillId="0" borderId="26" xfId="0" applyNumberFormat="1" applyFont="1" applyFill="1" applyBorder="1" applyAlignment="1">
      <alignment horizontal="center" vertical="center"/>
    </xf>
    <xf numFmtId="0" fontId="2" fillId="0" borderId="26" xfId="2" applyFill="1" applyBorder="1"/>
    <xf numFmtId="0" fontId="12" fillId="0" borderId="27" xfId="2" applyFont="1" applyFill="1" applyBorder="1" applyAlignment="1">
      <alignment vertical="center" wrapText="1"/>
    </xf>
    <xf numFmtId="0" fontId="12" fillId="0" borderId="21" xfId="2" applyFont="1" applyFill="1" applyBorder="1" applyAlignment="1">
      <alignment vertical="center" wrapText="1"/>
    </xf>
    <xf numFmtId="0" fontId="15" fillId="0" borderId="28" xfId="0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left" vertical="top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9" fillId="0" borderId="9" xfId="2" applyNumberFormat="1" applyFont="1" applyFill="1" applyBorder="1" applyAlignment="1">
      <alignment horizontal="center" vertical="center" wrapText="1"/>
    </xf>
    <xf numFmtId="3" fontId="9" fillId="0" borderId="9" xfId="2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left" vertical="top" wrapText="1"/>
    </xf>
    <xf numFmtId="3" fontId="8" fillId="0" borderId="9" xfId="2" applyNumberFormat="1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left" vertical="top" wrapText="1"/>
    </xf>
    <xf numFmtId="0" fontId="9" fillId="0" borderId="16" xfId="2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top" wrapText="1"/>
    </xf>
    <xf numFmtId="167" fontId="9" fillId="0" borderId="16" xfId="2" applyNumberFormat="1" applyFont="1" applyFill="1" applyBorder="1" applyAlignment="1">
      <alignment horizontal="center" vertical="center" wrapText="1"/>
    </xf>
    <xf numFmtId="164" fontId="9" fillId="0" borderId="16" xfId="2" applyNumberFormat="1" applyFont="1" applyFill="1" applyBorder="1" applyAlignment="1">
      <alignment horizontal="center" vertical="center" wrapText="1"/>
    </xf>
    <xf numFmtId="164" fontId="9" fillId="0" borderId="20" xfId="12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9" fillId="0" borderId="0" xfId="2" applyFont="1" applyBorder="1" applyAlignment="1">
      <alignment vertical="center" wrapText="1"/>
    </xf>
    <xf numFmtId="0" fontId="8" fillId="0" borderId="4" xfId="1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173" fontId="2" fillId="0" borderId="0" xfId="2" applyNumberFormat="1"/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49" fontId="8" fillId="0" borderId="6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0" xfId="10" applyNumberFormat="1" applyFont="1" applyFill="1" applyBorder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top"/>
    </xf>
    <xf numFmtId="0" fontId="15" fillId="0" borderId="11" xfId="0" applyNumberFormat="1" applyFont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 wrapText="1"/>
    </xf>
    <xf numFmtId="0" fontId="8" fillId="0" borderId="3" xfId="11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left" vertical="center" wrapText="1"/>
    </xf>
    <xf numFmtId="0" fontId="8" fillId="0" borderId="26" xfId="2" applyFont="1" applyFill="1" applyBorder="1" applyAlignment="1">
      <alignment horizontal="left" vertical="center" wrapText="1"/>
    </xf>
  </cellXfs>
  <cellStyles count="14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21_СВОД по районам" xfId="13"/>
    <cellStyle name="Обычный 3" xfId="8"/>
    <cellStyle name="Обычный 4" xfId="9"/>
    <cellStyle name="Обычный 5" xfId="12"/>
    <cellStyle name="Обычный_3-РЕМОНТ_МОСТОВ на 2011год" xfId="10"/>
    <cellStyle name="Обычный_ВЫПОЛНЕНИЕ программы ИЖС-2010 год" xfId="11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autoPageBreaks="0" fitToPage="1"/>
  </sheetPr>
  <dimension ref="A1:BA397"/>
  <sheetViews>
    <sheetView tabSelected="1" view="pageBreakPreview" zoomScale="72" zoomScaleNormal="75" zoomScaleSheetLayoutView="72" workbookViewId="0">
      <pane xSplit="3" ySplit="9" topLeftCell="AB10" activePane="bottomRight" state="frozen"/>
      <selection activeCell="A6" sqref="A6"/>
      <selection pane="topRight" activeCell="D6" sqref="D6"/>
      <selection pane="bottomLeft" activeCell="A13" sqref="A13"/>
      <selection pane="bottomRight" activeCell="AL20" sqref="AL20"/>
    </sheetView>
  </sheetViews>
  <sheetFormatPr defaultColWidth="9.140625" defaultRowHeight="16.5"/>
  <cols>
    <col min="1" max="1" width="7.140625" style="42" customWidth="1"/>
    <col min="2" max="2" width="57.7109375" style="43" customWidth="1"/>
    <col min="3" max="3" width="12.28515625" style="43" customWidth="1"/>
    <col min="4" max="4" width="18.5703125" style="43" hidden="1" customWidth="1"/>
    <col min="5" max="5" width="13.28515625" style="43" customWidth="1"/>
    <col min="6" max="6" width="13.7109375" style="43" customWidth="1"/>
    <col min="7" max="7" width="22" style="43" customWidth="1"/>
    <col min="8" max="8" width="9.7109375" style="43" hidden="1" customWidth="1"/>
    <col min="9" max="9" width="16.140625" style="43" hidden="1" customWidth="1"/>
    <col min="10" max="10" width="16.42578125" style="43" hidden="1" customWidth="1"/>
    <col min="11" max="11" width="14.140625" style="43" hidden="1" customWidth="1"/>
    <col min="12" max="12" width="10.85546875" style="45" hidden="1" customWidth="1"/>
    <col min="13" max="13" width="16.7109375" style="45" hidden="1" customWidth="1"/>
    <col min="14" max="14" width="19" style="45" hidden="1" customWidth="1"/>
    <col min="15" max="15" width="16.5703125" style="45" hidden="1" customWidth="1"/>
    <col min="16" max="16" width="11.5703125" style="43" hidden="1" customWidth="1"/>
    <col min="17" max="17" width="17.7109375" style="43" hidden="1" customWidth="1"/>
    <col min="18" max="18" width="19.28515625" style="43" hidden="1" customWidth="1"/>
    <col min="19" max="19" width="18.28515625" style="43" hidden="1" customWidth="1"/>
    <col min="20" max="20" width="12" style="43" customWidth="1"/>
    <col min="21" max="21" width="13.7109375" style="43" customWidth="1"/>
    <col min="22" max="22" width="19" style="43" customWidth="1"/>
    <col min="23" max="23" width="18.140625" style="43" customWidth="1"/>
    <col min="24" max="24" width="17.28515625" style="43" customWidth="1"/>
    <col min="25" max="25" width="16.5703125" style="43" customWidth="1"/>
    <col min="26" max="26" width="12.140625" style="43" customWidth="1"/>
    <col min="27" max="27" width="13.5703125" style="43" customWidth="1"/>
    <col min="28" max="28" width="19.28515625" style="43" customWidth="1"/>
    <col min="29" max="29" width="20.5703125" style="43" customWidth="1"/>
    <col min="30" max="30" width="16.85546875" style="43" customWidth="1"/>
    <col min="31" max="31" width="17.28515625" style="43" customWidth="1"/>
    <col min="32" max="32" width="10.85546875" style="43" customWidth="1"/>
    <col min="33" max="33" width="12.42578125" style="43" customWidth="1"/>
    <col min="34" max="34" width="18.42578125" style="43" customWidth="1"/>
    <col min="35" max="35" width="17.28515625" style="43" customWidth="1"/>
    <col min="36" max="36" width="17.85546875" style="43" customWidth="1"/>
    <col min="37" max="37" width="52.7109375" style="43" customWidth="1"/>
    <col min="38" max="38" width="14.7109375" style="43" customWidth="1"/>
    <col min="39" max="51" width="9.140625" style="43" customWidth="1"/>
    <col min="52" max="52" width="10.28515625" style="43" bestFit="1" customWidth="1"/>
    <col min="53" max="53" width="19.5703125" style="43" customWidth="1"/>
    <col min="54" max="16384" width="9.140625" style="43"/>
  </cols>
  <sheetData>
    <row r="1" spans="1:47" s="4" customFormat="1" ht="69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T1" s="2"/>
      <c r="U1" s="46"/>
      <c r="V1" s="46"/>
      <c r="W1" s="46"/>
      <c r="X1" s="46"/>
      <c r="Y1" s="46"/>
      <c r="Z1" s="125" t="s">
        <v>105</v>
      </c>
      <c r="AA1" s="125"/>
      <c r="AB1" s="125"/>
      <c r="AC1" s="125"/>
      <c r="AD1" s="125"/>
      <c r="AE1" s="125"/>
      <c r="AF1" s="125"/>
      <c r="AG1" s="125"/>
      <c r="AH1" s="125"/>
      <c r="AI1" s="122"/>
      <c r="AJ1" s="122"/>
      <c r="AK1" s="7"/>
      <c r="AL1" s="7"/>
      <c r="AM1" s="7"/>
      <c r="AN1" s="7"/>
      <c r="AO1" s="7"/>
    </row>
    <row r="2" spans="1:47" s="4" customFormat="1" ht="19.899999999999999" customHeight="1">
      <c r="A2" s="1"/>
      <c r="B2" s="2"/>
      <c r="C2" s="2"/>
      <c r="D2" s="2"/>
      <c r="E2" s="2"/>
      <c r="F2" s="2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8"/>
      <c r="AL2" s="8"/>
    </row>
    <row r="3" spans="1:47" s="4" customFormat="1" ht="36.75" customHeight="1">
      <c r="A3" s="126" t="s">
        <v>133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3"/>
      <c r="AJ3" s="123"/>
      <c r="AK3" s="8"/>
      <c r="AL3" s="8"/>
    </row>
    <row r="4" spans="1:47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8"/>
      <c r="AL4" s="8"/>
    </row>
    <row r="5" spans="1:47" s="4" customFormat="1" ht="34.5" customHeight="1">
      <c r="A5" s="127" t="s">
        <v>1</v>
      </c>
      <c r="B5" s="130" t="s">
        <v>2</v>
      </c>
      <c r="C5" s="130" t="s">
        <v>49</v>
      </c>
      <c r="D5" s="130" t="s">
        <v>48</v>
      </c>
      <c r="E5" s="133" t="s">
        <v>54</v>
      </c>
      <c r="F5" s="133"/>
      <c r="G5" s="133"/>
      <c r="H5" s="135" t="s">
        <v>3</v>
      </c>
      <c r="I5" s="135"/>
      <c r="J5" s="135"/>
      <c r="K5" s="135"/>
      <c r="L5" s="135" t="s">
        <v>4</v>
      </c>
      <c r="M5" s="135"/>
      <c r="N5" s="135"/>
      <c r="O5" s="135"/>
      <c r="P5" s="135" t="s">
        <v>5</v>
      </c>
      <c r="Q5" s="135"/>
      <c r="R5" s="135"/>
      <c r="S5" s="135"/>
      <c r="T5" s="136" t="s">
        <v>53</v>
      </c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8"/>
      <c r="AK5" s="9"/>
      <c r="AL5" s="9"/>
      <c r="AM5" s="10"/>
      <c r="AN5" s="10"/>
      <c r="AO5" s="10"/>
      <c r="AP5" s="10"/>
      <c r="AQ5" s="10"/>
      <c r="AR5" s="10"/>
      <c r="AS5" s="10"/>
      <c r="AT5" s="10"/>
      <c r="AU5" s="10"/>
    </row>
    <row r="6" spans="1:47" s="4" customFormat="1" ht="29.25" customHeight="1">
      <c r="A6" s="128"/>
      <c r="B6" s="131"/>
      <c r="C6" s="131"/>
      <c r="D6" s="131"/>
      <c r="E6" s="134"/>
      <c r="F6" s="134"/>
      <c r="G6" s="134"/>
      <c r="H6" s="139" t="s">
        <v>8</v>
      </c>
      <c r="I6" s="141" t="s">
        <v>9</v>
      </c>
      <c r="J6" s="141"/>
      <c r="K6" s="141"/>
      <c r="L6" s="139" t="s">
        <v>8</v>
      </c>
      <c r="M6" s="141" t="s">
        <v>9</v>
      </c>
      <c r="N6" s="141"/>
      <c r="O6" s="141"/>
      <c r="P6" s="139" t="s">
        <v>8</v>
      </c>
      <c r="Q6" s="141" t="s">
        <v>9</v>
      </c>
      <c r="R6" s="141"/>
      <c r="S6" s="141"/>
      <c r="T6" s="142" t="s">
        <v>6</v>
      </c>
      <c r="U6" s="143"/>
      <c r="V6" s="143"/>
      <c r="W6" s="143"/>
      <c r="X6" s="143"/>
      <c r="Y6" s="144"/>
      <c r="Z6" s="142" t="s">
        <v>7</v>
      </c>
      <c r="AA6" s="143"/>
      <c r="AB6" s="143"/>
      <c r="AC6" s="143"/>
      <c r="AD6" s="143"/>
      <c r="AE6" s="144"/>
      <c r="AF6" s="142" t="s">
        <v>52</v>
      </c>
      <c r="AG6" s="143"/>
      <c r="AH6" s="143"/>
      <c r="AI6" s="143"/>
      <c r="AJ6" s="145"/>
      <c r="AK6" s="9"/>
      <c r="AL6" s="11"/>
      <c r="AM6" s="10"/>
      <c r="AN6" s="10"/>
      <c r="AO6" s="10"/>
      <c r="AP6" s="10"/>
      <c r="AQ6" s="10"/>
      <c r="AR6" s="10"/>
      <c r="AS6" s="10"/>
      <c r="AT6" s="10"/>
      <c r="AU6" s="10"/>
    </row>
    <row r="7" spans="1:47" s="4" customFormat="1" ht="33.950000000000003" customHeight="1">
      <c r="A7" s="128"/>
      <c r="B7" s="131"/>
      <c r="C7" s="131"/>
      <c r="D7" s="131"/>
      <c r="E7" s="134" t="s">
        <v>50</v>
      </c>
      <c r="F7" s="134"/>
      <c r="G7" s="146" t="s">
        <v>9</v>
      </c>
      <c r="H7" s="139"/>
      <c r="I7" s="141" t="s">
        <v>10</v>
      </c>
      <c r="J7" s="141" t="s">
        <v>11</v>
      </c>
      <c r="K7" s="141"/>
      <c r="L7" s="139"/>
      <c r="M7" s="141" t="s">
        <v>10</v>
      </c>
      <c r="N7" s="141" t="s">
        <v>11</v>
      </c>
      <c r="O7" s="141"/>
      <c r="P7" s="139"/>
      <c r="Q7" s="141" t="s">
        <v>10</v>
      </c>
      <c r="R7" s="141" t="s">
        <v>11</v>
      </c>
      <c r="S7" s="141"/>
      <c r="T7" s="134" t="s">
        <v>50</v>
      </c>
      <c r="U7" s="134"/>
      <c r="V7" s="146" t="s">
        <v>9</v>
      </c>
      <c r="W7" s="148" t="s">
        <v>11</v>
      </c>
      <c r="X7" s="149"/>
      <c r="Y7" s="150"/>
      <c r="Z7" s="134" t="s">
        <v>50</v>
      </c>
      <c r="AA7" s="134"/>
      <c r="AB7" s="146" t="s">
        <v>9</v>
      </c>
      <c r="AC7" s="148" t="s">
        <v>11</v>
      </c>
      <c r="AD7" s="149"/>
      <c r="AE7" s="150"/>
      <c r="AF7" s="134" t="s">
        <v>50</v>
      </c>
      <c r="AG7" s="134"/>
      <c r="AH7" s="151" t="s">
        <v>9</v>
      </c>
      <c r="AI7" s="148" t="s">
        <v>11</v>
      </c>
      <c r="AJ7" s="153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</row>
    <row r="8" spans="1:47" s="4" customFormat="1" ht="59.45" customHeight="1">
      <c r="A8" s="129"/>
      <c r="B8" s="132"/>
      <c r="C8" s="132"/>
      <c r="D8" s="131"/>
      <c r="E8" s="47" t="s">
        <v>8</v>
      </c>
      <c r="F8" s="47" t="s">
        <v>51</v>
      </c>
      <c r="G8" s="147"/>
      <c r="H8" s="140"/>
      <c r="I8" s="156"/>
      <c r="J8" s="121" t="s">
        <v>12</v>
      </c>
      <c r="K8" s="121" t="s">
        <v>13</v>
      </c>
      <c r="L8" s="140"/>
      <c r="M8" s="156"/>
      <c r="N8" s="121" t="s">
        <v>12</v>
      </c>
      <c r="O8" s="121" t="s">
        <v>13</v>
      </c>
      <c r="P8" s="140"/>
      <c r="Q8" s="156"/>
      <c r="R8" s="121" t="s">
        <v>12</v>
      </c>
      <c r="S8" s="121" t="s">
        <v>14</v>
      </c>
      <c r="T8" s="47" t="s">
        <v>8</v>
      </c>
      <c r="U8" s="47" t="s">
        <v>51</v>
      </c>
      <c r="V8" s="147"/>
      <c r="W8" s="120" t="s">
        <v>14</v>
      </c>
      <c r="X8" s="120" t="s">
        <v>12</v>
      </c>
      <c r="Y8" s="121" t="s">
        <v>67</v>
      </c>
      <c r="Z8" s="47" t="s">
        <v>8</v>
      </c>
      <c r="AA8" s="47" t="s">
        <v>51</v>
      </c>
      <c r="AB8" s="147"/>
      <c r="AC8" s="120" t="s">
        <v>14</v>
      </c>
      <c r="AD8" s="120" t="s">
        <v>12</v>
      </c>
      <c r="AE8" s="121" t="s">
        <v>67</v>
      </c>
      <c r="AF8" s="47" t="s">
        <v>8</v>
      </c>
      <c r="AG8" s="47" t="s">
        <v>51</v>
      </c>
      <c r="AH8" s="152"/>
      <c r="AI8" s="120" t="s">
        <v>14</v>
      </c>
      <c r="AJ8" s="80" t="s">
        <v>12</v>
      </c>
      <c r="AK8" s="12"/>
      <c r="AL8" s="9"/>
      <c r="AM8" s="10"/>
      <c r="AN8" s="10"/>
      <c r="AO8" s="10"/>
      <c r="AP8" s="10"/>
      <c r="AQ8" s="10"/>
      <c r="AR8" s="10"/>
      <c r="AS8" s="10"/>
      <c r="AT8" s="10"/>
      <c r="AU8" s="10"/>
    </row>
    <row r="9" spans="1:47" s="4" customFormat="1" ht="36.75" customHeight="1" thickBot="1">
      <c r="A9" s="81">
        <v>1</v>
      </c>
      <c r="B9" s="82">
        <v>2</v>
      </c>
      <c r="C9" s="82">
        <v>3</v>
      </c>
      <c r="D9" s="83"/>
      <c r="E9" s="82">
        <v>4</v>
      </c>
      <c r="F9" s="82">
        <v>5</v>
      </c>
      <c r="G9" s="82">
        <v>6</v>
      </c>
      <c r="H9" s="82">
        <v>7</v>
      </c>
      <c r="I9" s="82"/>
      <c r="J9" s="82"/>
      <c r="K9" s="82"/>
      <c r="L9" s="82"/>
      <c r="M9" s="82"/>
      <c r="N9" s="82"/>
      <c r="O9" s="82"/>
      <c r="P9" s="82"/>
      <c r="Q9" s="82">
        <v>6</v>
      </c>
      <c r="R9" s="82">
        <v>7</v>
      </c>
      <c r="S9" s="82">
        <v>8</v>
      </c>
      <c r="T9" s="82">
        <v>7</v>
      </c>
      <c r="U9" s="82">
        <v>8</v>
      </c>
      <c r="V9" s="82">
        <v>9</v>
      </c>
      <c r="W9" s="82">
        <v>10</v>
      </c>
      <c r="X9" s="82">
        <v>11</v>
      </c>
      <c r="Y9" s="82">
        <v>12</v>
      </c>
      <c r="Z9" s="82">
        <v>13</v>
      </c>
      <c r="AA9" s="82">
        <v>14</v>
      </c>
      <c r="AB9" s="82">
        <v>15</v>
      </c>
      <c r="AC9" s="82">
        <v>16</v>
      </c>
      <c r="AD9" s="82">
        <v>17</v>
      </c>
      <c r="AE9" s="82">
        <v>18</v>
      </c>
      <c r="AF9" s="82">
        <v>19</v>
      </c>
      <c r="AG9" s="82">
        <v>20</v>
      </c>
      <c r="AH9" s="84">
        <v>21</v>
      </c>
      <c r="AI9" s="82">
        <v>22</v>
      </c>
      <c r="AJ9" s="85">
        <v>23</v>
      </c>
      <c r="AK9" s="12"/>
      <c r="AL9" s="9"/>
      <c r="AM9" s="10"/>
      <c r="AN9" s="10"/>
      <c r="AO9" s="10"/>
      <c r="AP9" s="10"/>
      <c r="AQ9" s="10"/>
      <c r="AR9" s="10"/>
      <c r="AS9" s="10"/>
      <c r="AT9" s="10"/>
      <c r="AU9" s="10"/>
    </row>
    <row r="10" spans="1:47" s="4" customFormat="1" ht="49.5" customHeight="1">
      <c r="A10" s="154" t="s">
        <v>87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79"/>
      <c r="AJ10" s="97"/>
      <c r="AK10" s="12"/>
      <c r="AL10" s="9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s="4" customFormat="1" ht="36.75" customHeight="1">
      <c r="A11" s="65" t="s">
        <v>15</v>
      </c>
      <c r="B11" s="160" t="s">
        <v>126</v>
      </c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52"/>
      <c r="AJ11" s="98"/>
      <c r="AK11" s="12"/>
      <c r="AL11" s="9"/>
      <c r="AM11" s="10"/>
      <c r="AN11" s="10"/>
      <c r="AO11" s="10"/>
      <c r="AP11" s="10"/>
      <c r="AQ11" s="10"/>
      <c r="AR11" s="10"/>
      <c r="AS11" s="10"/>
      <c r="AT11" s="10"/>
      <c r="AU11" s="10"/>
    </row>
    <row r="12" spans="1:47" s="4" customFormat="1" ht="31.5" customHeight="1">
      <c r="A12" s="65">
        <v>1</v>
      </c>
      <c r="B12" s="52" t="s">
        <v>88</v>
      </c>
      <c r="C12" s="52"/>
      <c r="D12" s="52"/>
      <c r="E12" s="119">
        <f>E15</f>
        <v>2.5</v>
      </c>
      <c r="F12" s="119"/>
      <c r="G12" s="119">
        <f>G15</f>
        <v>174477.09239999999</v>
      </c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119">
        <f>T15</f>
        <v>2.5</v>
      </c>
      <c r="U12" s="119"/>
      <c r="V12" s="119">
        <f>V15</f>
        <v>174477.09239999999</v>
      </c>
      <c r="W12" s="52"/>
      <c r="X12" s="119">
        <f>X15</f>
        <v>174477.09239999999</v>
      </c>
      <c r="Y12" s="52"/>
      <c r="Z12" s="119">
        <f>Z17</f>
        <v>2.8</v>
      </c>
      <c r="AA12" s="119"/>
      <c r="AB12" s="119">
        <f>AB17</f>
        <v>200000</v>
      </c>
      <c r="AC12" s="52"/>
      <c r="AD12" s="119">
        <f>AD17</f>
        <v>200000</v>
      </c>
      <c r="AE12" s="52"/>
      <c r="AF12" s="52"/>
      <c r="AG12" s="52"/>
      <c r="AH12" s="118"/>
      <c r="AI12" s="52"/>
      <c r="AJ12" s="98"/>
      <c r="AK12" s="12"/>
      <c r="AL12" s="9"/>
      <c r="AM12" s="10"/>
      <c r="AN12" s="10"/>
      <c r="AO12" s="10"/>
      <c r="AP12" s="10"/>
      <c r="AQ12" s="10"/>
      <c r="AR12" s="10"/>
      <c r="AS12" s="10"/>
      <c r="AT12" s="10"/>
      <c r="AU12" s="10"/>
    </row>
    <row r="13" spans="1:47" s="4" customFormat="1" ht="26.25" customHeight="1">
      <c r="A13" s="162" t="s">
        <v>16</v>
      </c>
      <c r="B13" s="163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118"/>
      <c r="AI13" s="52"/>
      <c r="AJ13" s="98"/>
      <c r="AK13" s="12"/>
      <c r="AL13" s="9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4" customFormat="1" ht="36.75" customHeight="1">
      <c r="A14" s="69">
        <v>1</v>
      </c>
      <c r="B14" s="17" t="s">
        <v>89</v>
      </c>
      <c r="C14" s="17" t="s">
        <v>17</v>
      </c>
      <c r="D14" s="52"/>
      <c r="E14" s="20">
        <v>2.5</v>
      </c>
      <c r="F14" s="20"/>
      <c r="G14" s="19">
        <v>174477.09239999999</v>
      </c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20">
        <f>E14</f>
        <v>2.5</v>
      </c>
      <c r="U14" s="20"/>
      <c r="V14" s="19">
        <f>G14</f>
        <v>174477.09239999999</v>
      </c>
      <c r="W14" s="52"/>
      <c r="X14" s="19">
        <f>V14</f>
        <v>174477.09239999999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118"/>
      <c r="AI14" s="52"/>
      <c r="AJ14" s="98"/>
      <c r="AK14" s="12"/>
      <c r="AL14" s="9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47" s="4" customFormat="1" ht="36.75" customHeight="1">
      <c r="A15" s="157" t="s">
        <v>107</v>
      </c>
      <c r="B15" s="158"/>
      <c r="C15" s="158"/>
      <c r="D15" s="52"/>
      <c r="E15" s="119">
        <f>E14</f>
        <v>2.5</v>
      </c>
      <c r="F15" s="119"/>
      <c r="G15" s="119">
        <f>G14</f>
        <v>174477.09239999999</v>
      </c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119">
        <f>T14</f>
        <v>2.5</v>
      </c>
      <c r="U15" s="119"/>
      <c r="V15" s="119">
        <f>V14</f>
        <v>174477.09239999999</v>
      </c>
      <c r="W15" s="52"/>
      <c r="X15" s="119">
        <f>X14</f>
        <v>174477.09239999999</v>
      </c>
      <c r="Y15" s="52"/>
      <c r="Z15" s="52"/>
      <c r="AA15" s="52"/>
      <c r="AB15" s="52"/>
      <c r="AC15" s="52"/>
      <c r="AD15" s="52"/>
      <c r="AE15" s="52"/>
      <c r="AF15" s="52"/>
      <c r="AG15" s="52"/>
      <c r="AH15" s="118"/>
      <c r="AI15" s="52"/>
      <c r="AJ15" s="98"/>
      <c r="AK15" s="12"/>
      <c r="AL15" s="9"/>
      <c r="AM15" s="10"/>
      <c r="AN15" s="10"/>
      <c r="AO15" s="10"/>
      <c r="AP15" s="10"/>
      <c r="AQ15" s="10"/>
      <c r="AR15" s="10"/>
      <c r="AS15" s="10"/>
      <c r="AT15" s="10"/>
      <c r="AU15" s="10"/>
    </row>
    <row r="16" spans="1:47" s="4" customFormat="1" ht="36.75" customHeight="1">
      <c r="A16" s="159" t="s">
        <v>31</v>
      </c>
      <c r="B16" s="146"/>
      <c r="C16" s="117"/>
      <c r="D16" s="52"/>
      <c r="E16" s="119"/>
      <c r="F16" s="119"/>
      <c r="G16" s="119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119"/>
      <c r="U16" s="119"/>
      <c r="V16" s="119"/>
      <c r="W16" s="52"/>
      <c r="X16" s="119"/>
      <c r="Y16" s="52"/>
      <c r="Z16" s="52"/>
      <c r="AA16" s="52"/>
      <c r="AB16" s="52"/>
      <c r="AC16" s="52"/>
      <c r="AD16" s="52"/>
      <c r="AE16" s="52"/>
      <c r="AF16" s="52"/>
      <c r="AG16" s="52"/>
      <c r="AH16" s="118"/>
      <c r="AI16" s="52"/>
      <c r="AJ16" s="98"/>
      <c r="AK16" s="12"/>
      <c r="AL16" s="9"/>
      <c r="AM16" s="10"/>
      <c r="AN16" s="10"/>
      <c r="AO16" s="10"/>
      <c r="AP16" s="10"/>
      <c r="AQ16" s="10"/>
      <c r="AR16" s="10"/>
      <c r="AS16" s="10"/>
      <c r="AT16" s="10"/>
      <c r="AU16" s="10"/>
    </row>
    <row r="17" spans="1:53" s="4" customFormat="1" ht="49.5" customHeight="1">
      <c r="A17" s="69">
        <v>2</v>
      </c>
      <c r="B17" s="86" t="s">
        <v>138</v>
      </c>
      <c r="C17" s="17" t="s">
        <v>17</v>
      </c>
      <c r="D17" s="50"/>
      <c r="E17" s="29">
        <v>2.8</v>
      </c>
      <c r="F17" s="119"/>
      <c r="G17" s="19">
        <v>200000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119"/>
      <c r="U17" s="119"/>
      <c r="V17" s="119"/>
      <c r="W17" s="52"/>
      <c r="X17" s="119"/>
      <c r="Y17" s="52"/>
      <c r="Z17" s="29">
        <f>E17</f>
        <v>2.8</v>
      </c>
      <c r="AA17" s="119"/>
      <c r="AB17" s="19">
        <f>G17</f>
        <v>200000</v>
      </c>
      <c r="AC17" s="52"/>
      <c r="AD17" s="19">
        <f>AB17</f>
        <v>200000</v>
      </c>
      <c r="AE17" s="52"/>
      <c r="AF17" s="52"/>
      <c r="AG17" s="52"/>
      <c r="AH17" s="118"/>
      <c r="AI17" s="52"/>
      <c r="AJ17" s="98"/>
      <c r="AK17" s="12"/>
      <c r="AL17" s="9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53" s="4" customFormat="1" ht="36.75" customHeight="1">
      <c r="A18" s="157" t="s">
        <v>117</v>
      </c>
      <c r="B18" s="158"/>
      <c r="C18" s="117"/>
      <c r="D18" s="52"/>
      <c r="E18" s="119">
        <f>E17</f>
        <v>2.8</v>
      </c>
      <c r="F18" s="119"/>
      <c r="G18" s="119">
        <f>G17</f>
        <v>200000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119"/>
      <c r="U18" s="119"/>
      <c r="V18" s="119"/>
      <c r="W18" s="52"/>
      <c r="X18" s="119"/>
      <c r="Y18" s="52"/>
      <c r="Z18" s="119">
        <f>Z17</f>
        <v>2.8</v>
      </c>
      <c r="AA18" s="119"/>
      <c r="AB18" s="119">
        <f>AB17</f>
        <v>200000</v>
      </c>
      <c r="AC18" s="52"/>
      <c r="AD18" s="119">
        <f>AD17</f>
        <v>200000</v>
      </c>
      <c r="AE18" s="52"/>
      <c r="AF18" s="52"/>
      <c r="AG18" s="52"/>
      <c r="AH18" s="118"/>
      <c r="AI18" s="52"/>
      <c r="AJ18" s="98"/>
      <c r="AK18" s="12"/>
      <c r="AL18" s="9"/>
      <c r="AM18" s="10"/>
      <c r="AN18" s="10"/>
      <c r="AO18" s="10"/>
      <c r="AP18" s="10"/>
      <c r="AQ18" s="10"/>
      <c r="AR18" s="10"/>
      <c r="AS18" s="10"/>
      <c r="AT18" s="10"/>
      <c r="AU18" s="10"/>
    </row>
    <row r="19" spans="1:53" s="4" customFormat="1" ht="36.75" customHeight="1">
      <c r="A19" s="65">
        <v>2</v>
      </c>
      <c r="B19" s="52" t="s">
        <v>90</v>
      </c>
      <c r="C19" s="52"/>
      <c r="D19" s="52"/>
      <c r="E19" s="62"/>
      <c r="F19" s="52"/>
      <c r="G19" s="6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88"/>
      <c r="AD19" s="52"/>
      <c r="AE19" s="52"/>
      <c r="AF19" s="52"/>
      <c r="AG19" s="52"/>
      <c r="AH19" s="118"/>
      <c r="AI19" s="52"/>
      <c r="AJ19" s="98"/>
      <c r="AK19" s="12"/>
      <c r="AL19" s="9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53" s="23" customFormat="1" ht="30.75" customHeight="1">
      <c r="A20" s="65"/>
      <c r="B20" s="66" t="s">
        <v>68</v>
      </c>
      <c r="C20" s="25"/>
      <c r="D20" s="67"/>
      <c r="E20" s="119">
        <f>E31+E37+E43+E46+E54+E58+E62+E66+E71+E75+E78+E81+E85+E88+E91+E95+E101+E105+E110+E114+E117+E118</f>
        <v>248.59099999999998</v>
      </c>
      <c r="F20" s="119"/>
      <c r="G20" s="119">
        <f>G31+G37+G43+G46+G54+G58+G62+G66+G71+G75+G78+G81+G85+G88+G91+G95+G101+G105+G110+G114+G117+G118</f>
        <v>5900635.9841128001</v>
      </c>
      <c r="H20" s="119" t="e">
        <f>#REF!+H31+H37+H43+H46+H54+H58+H62+H66+H71+H75+H78+H91+H101+H110+H114+H117</f>
        <v>#REF!</v>
      </c>
      <c r="I20" s="119" t="e">
        <f>#REF!+I31+I37+I43+I46+I54+I58+I62+I66+I71+I75+I78+I91+I101+I110+I114+I117</f>
        <v>#REF!</v>
      </c>
      <c r="J20" s="119" t="e">
        <f>#REF!+J31+J37+J43+J46+J54+J58+J62+J66+J71+J75+J78+J91+J101+J110+J114+J117</f>
        <v>#REF!</v>
      </c>
      <c r="K20" s="119" t="e">
        <f>#REF!+K31+K37+K43+K46+K54+K58+K62+K66+K71+K75+K78+K91+K101+K110+K114+K117</f>
        <v>#REF!</v>
      </c>
      <c r="L20" s="119" t="e">
        <f>#REF!+L31+L37+L43+L46+L54+L58+L62+L66+L71+L75+L78+L91+L101+L110+L114+L117</f>
        <v>#REF!</v>
      </c>
      <c r="M20" s="119" t="e">
        <f>#REF!+M31+M37+M43+M46+M54+M58+M62+M66+M71+M75+M78+M91+M101+M110+M114+M117</f>
        <v>#REF!</v>
      </c>
      <c r="N20" s="119" t="e">
        <f>#REF!+N31+N37+N43+N46+N54+N58+N62+N66+N71+N75+N78+N91+N101+N110+N114+N117</f>
        <v>#REF!</v>
      </c>
      <c r="O20" s="119" t="e">
        <f>#REF!+O31+O37+O43+O46+O54+O58+O62+O66+O71+O75+O78+O91+O101+O110+O114+O117</f>
        <v>#REF!</v>
      </c>
      <c r="P20" s="119" t="e">
        <f>#REF!+P31+P37+P43+P46+P54+P58+P62+P66+P71+P75+P78+P91+P101+P110+P114+P117</f>
        <v>#REF!</v>
      </c>
      <c r="Q20" s="119" t="e">
        <f>#REF!+Q31+Q37+Q43+Q46+Q54+Q58+Q62+Q66+Q71+Q75+Q78+Q91+Q101+Q110+Q114+Q117</f>
        <v>#REF!</v>
      </c>
      <c r="R20" s="119" t="e">
        <f>#REF!+R31+R37+R43+R46+R54+R58+R62+R66+R71+R75+R78+R91+R101+R110+R114+R117</f>
        <v>#REF!</v>
      </c>
      <c r="S20" s="119" t="e">
        <f>#REF!+S31+S37+S43+S46+S54+S58+S62+S66+S71+S75+S78+S91+S101+S110+S114+S117</f>
        <v>#REF!</v>
      </c>
      <c r="T20" s="119">
        <f>T31+T37+T43+T46+T54+T58+T62+T66+T71+T75+T78+T81+T88+T91+T95+T101+T105+T110+T114+T117</f>
        <v>109.64400000000002</v>
      </c>
      <c r="U20" s="119"/>
      <c r="V20" s="119">
        <f>V31+V37+V43+V46+V54+V58+V62+V66+V71+V75+V78+V85+V91+V101+V110+V114+V117+V118</f>
        <v>2644610.7841100004</v>
      </c>
      <c r="W20" s="119">
        <f>W31+W37+W43+W46+W54+W58+W62+W66+W71+W75+W78+W85+W91+W101+W110+W114+W117+W118</f>
        <v>3.1999999999534339</v>
      </c>
      <c r="X20" s="119">
        <f>X31+X37+X43+X46+X54+X58+X62+X66+X71+X75+X78+X85+X91+X101+X110+X114+X117+X118</f>
        <v>2644607.5841100002</v>
      </c>
      <c r="Y20" s="119"/>
      <c r="Z20" s="119">
        <f>Z31+Z37+Z43+Z46+Z54+Z62+Z66+Z71+Z75+Z78+Z81+Z85+Z88+Z95+Z101+Z105+Z110+Z114</f>
        <v>138.94700000000003</v>
      </c>
      <c r="AA20" s="119"/>
      <c r="AB20" s="119">
        <f>AB31+AB37+AB43+AB46+AB54+AB58+AB62+AB66+AB71+AB75+AB78+AB81+AB85+AB88+AB95+AB101+AB105+AB110+AB114</f>
        <v>3256025.2000028007</v>
      </c>
      <c r="AC20" s="119">
        <f t="shared" ref="AC20:AD20" si="0">AC31+AC37+AC43+AC46+AC54+AC58+AC62+AC66+AC71+AC75+AC78+AC81+AC85+AC88+AC95+AC101+AC105+AC110+AC114</f>
        <v>2677614.7000026875</v>
      </c>
      <c r="AD20" s="119">
        <f t="shared" si="0"/>
        <v>578410.50000011211</v>
      </c>
      <c r="AE20" s="119"/>
      <c r="AF20" s="119">
        <v>91.2</v>
      </c>
      <c r="AG20" s="119"/>
      <c r="AH20" s="74">
        <v>4929561.3000000007</v>
      </c>
      <c r="AI20" s="119">
        <v>3154919.2</v>
      </c>
      <c r="AJ20" s="99">
        <f>AH20-AI20</f>
        <v>1774642.1000000006</v>
      </c>
      <c r="AK20" s="23" t="s">
        <v>161</v>
      </c>
      <c r="AL20" s="124">
        <f>AI20/AH20*100</f>
        <v>63.999999350855006</v>
      </c>
      <c r="BA20" s="119">
        <v>3792827.38</v>
      </c>
    </row>
    <row r="21" spans="1:53" s="23" customFormat="1" ht="25.5" customHeight="1">
      <c r="A21" s="65"/>
      <c r="B21" s="68" t="s">
        <v>11</v>
      </c>
      <c r="C21" s="25"/>
      <c r="D21" s="67"/>
      <c r="E21" s="119"/>
      <c r="F21" s="119"/>
      <c r="G21" s="119"/>
      <c r="H21" s="119"/>
      <c r="I21" s="14"/>
      <c r="J21" s="14"/>
      <c r="K21" s="25"/>
      <c r="L21" s="119"/>
      <c r="M21" s="14"/>
      <c r="N21" s="14"/>
      <c r="O21" s="14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31"/>
      <c r="AC21" s="31"/>
      <c r="AD21" s="31"/>
      <c r="AE21" s="119"/>
      <c r="AF21" s="119"/>
      <c r="AG21" s="119"/>
      <c r="AH21" s="74"/>
      <c r="AI21" s="119"/>
      <c r="AJ21" s="99"/>
      <c r="AL21" s="8"/>
      <c r="BA21" s="15"/>
    </row>
    <row r="22" spans="1:53" s="23" customFormat="1" ht="30" customHeight="1">
      <c r="A22" s="65"/>
      <c r="B22" s="66" t="s">
        <v>55</v>
      </c>
      <c r="C22" s="25"/>
      <c r="D22" s="67"/>
      <c r="E22" s="119">
        <f>E25+E26+E27+E28+E33+E34+E41+E42+E45+E49+E53+E60+E64+E65+E68+E73+E74+E77+E80+E83+E84+E87+E90+E93+E94+E97+E98+E103+E104+E107+E108+E112</f>
        <v>143.69899999999998</v>
      </c>
      <c r="F22" s="119"/>
      <c r="G22" s="119">
        <f>G25+G26+G27+G28+G33+G34+G41+G42+G45+G49+G53+G60+G64+G65+G68+G73+G74+G77+G80+G83+G84+G87+G90+G93+G94+G97+G98+G103+G104+G107+G108+G112+G118</f>
        <v>3983869.7841128008</v>
      </c>
      <c r="H22" s="119"/>
      <c r="I22" s="14"/>
      <c r="J22" s="14"/>
      <c r="K22" s="25"/>
      <c r="L22" s="119"/>
      <c r="M22" s="14"/>
      <c r="N22" s="14"/>
      <c r="O22" s="14"/>
      <c r="P22" s="119"/>
      <c r="Q22" s="119"/>
      <c r="R22" s="119"/>
      <c r="S22" s="119"/>
      <c r="T22" s="119">
        <f>T29+T35+T49+T64+T73+T90+T99+T107+T112</f>
        <v>36.61</v>
      </c>
      <c r="U22" s="119"/>
      <c r="V22" s="119">
        <f>V25+V35+V49+V64+V73+V83+V90+V99+V107+V112+V118</f>
        <v>1194687.7841099999</v>
      </c>
      <c r="W22" s="119">
        <f>W29+W35+W49+W64+W73+W83+W90+W99+W107+W118</f>
        <v>3.1999999999534339</v>
      </c>
      <c r="X22" s="119">
        <f>X25+X35+X49+X64+X73+X83+X90+X99+X107+X112+X118</f>
        <v>1194684.5841099999</v>
      </c>
      <c r="Y22" s="119"/>
      <c r="Z22" s="119">
        <f>Z25+Z26+Z27+Z28+Z34+Z41+Z42+Z45+Z53+Z60+Z65+Z68+Z74+Z77+Z80+Z83+Z84+Z87+Z93+Z94+Z98+Z103+Z104+Z108+Z112</f>
        <v>107.089</v>
      </c>
      <c r="AA22" s="119"/>
      <c r="AB22" s="119">
        <f>AB25+AB26+AB27+AB28+AB34+AB41+AB42+AB45+AB53+AB60+AB65+AB68+AB74+AB77+AB80+AB83+AB84+AB87+AB93+AB94+AB98+AB103+AB104+AB108+AB112</f>
        <v>2789182.0000028</v>
      </c>
      <c r="AC22" s="119">
        <f>AC25+AC26+AC27+AC28+AC34+AC41+AC42+AC45+AC53+AC60+AC65+AC68+AC74+AC77+AC80+AC83+AC84+AC87+AC93+AC94+AC98+AC103+AC104+AC108+AC112</f>
        <v>2677614.7000026875</v>
      </c>
      <c r="AD22" s="119">
        <f>AD25+AD26+AD27+AD28+AD34+AD41+AD42+AD45+AD53+AD60+AD65+AD68+AD74+AD77+AD80+AD83+AD84+AD87+AD93+AD94+AD98+AD103+AD104+AD108+AD112</f>
        <v>111567.3000001121</v>
      </c>
      <c r="AE22" s="119"/>
      <c r="AF22" s="119"/>
      <c r="AG22" s="119"/>
      <c r="AH22" s="74"/>
      <c r="AI22" s="119"/>
      <c r="AJ22" s="99"/>
      <c r="AL22" s="8"/>
      <c r="BA22" s="15"/>
    </row>
    <row r="23" spans="1:53" s="23" customFormat="1" ht="27.75" customHeight="1">
      <c r="A23" s="65"/>
      <c r="B23" s="48" t="s">
        <v>56</v>
      </c>
      <c r="C23" s="25"/>
      <c r="D23" s="25"/>
      <c r="E23" s="119">
        <f>E30+E36+E61+E70+E100+E109+E113+E116</f>
        <v>104.892</v>
      </c>
      <c r="F23" s="119"/>
      <c r="G23" s="119">
        <f>G30+G36+G61+G70+G100+G109+G113+G116</f>
        <v>1916766.2</v>
      </c>
      <c r="H23" s="119"/>
      <c r="I23" s="14"/>
      <c r="J23" s="14"/>
      <c r="K23" s="25"/>
      <c r="L23" s="119"/>
      <c r="M23" s="14"/>
      <c r="N23" s="14"/>
      <c r="O23" s="14"/>
      <c r="P23" s="119"/>
      <c r="Q23" s="119"/>
      <c r="R23" s="119"/>
      <c r="S23" s="119"/>
      <c r="T23" s="119">
        <f>T30+T36+T61+T70+T100+T109+T113+T116</f>
        <v>73.033999999999992</v>
      </c>
      <c r="U23" s="119"/>
      <c r="V23" s="119">
        <f>V30+V36+V61+V70+V100+V109+V113+V116</f>
        <v>1449923</v>
      </c>
      <c r="W23" s="119"/>
      <c r="X23" s="119">
        <f>X30+X36+X61+X70+X100+X109+X113+X116</f>
        <v>1449923</v>
      </c>
      <c r="Y23" s="119"/>
      <c r="Z23" s="119">
        <f>Z30+Z36+Z61+Z70+Z100+Z109+Z113+Z116</f>
        <v>31.857999999999997</v>
      </c>
      <c r="AA23" s="119"/>
      <c r="AB23" s="119">
        <f>AB30+AB36+AB61+AB70+AB100+AB109+AB113+AB116</f>
        <v>466843.2</v>
      </c>
      <c r="AC23" s="119"/>
      <c r="AD23" s="119">
        <f>AD30+AD36+AD61+AD70+AD100+AD109+AD113+AD116</f>
        <v>466843.2</v>
      </c>
      <c r="AE23" s="119"/>
      <c r="AF23" s="119"/>
      <c r="AG23" s="119"/>
      <c r="AH23" s="74"/>
      <c r="AI23" s="119"/>
      <c r="AJ23" s="99"/>
      <c r="AL23" s="8"/>
      <c r="BA23" s="15"/>
    </row>
    <row r="24" spans="1:53" s="23" customFormat="1" ht="30.75" customHeight="1">
      <c r="A24" s="159" t="s">
        <v>18</v>
      </c>
      <c r="B24" s="146"/>
      <c r="C24" s="164"/>
      <c r="D24" s="146"/>
      <c r="E24" s="146"/>
      <c r="F24" s="115"/>
      <c r="G24" s="119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9"/>
      <c r="U24" s="19"/>
      <c r="V24" s="19"/>
      <c r="W24" s="19"/>
      <c r="X24" s="19"/>
      <c r="Y24" s="19"/>
      <c r="Z24" s="19"/>
      <c r="AA24" s="17"/>
      <c r="AB24" s="19"/>
      <c r="AC24" s="19"/>
      <c r="AD24" s="19"/>
      <c r="AE24" s="19"/>
      <c r="AF24" s="19"/>
      <c r="AG24" s="19"/>
      <c r="AH24" s="75"/>
      <c r="AI24" s="19"/>
      <c r="AJ24" s="100"/>
      <c r="AK24" s="8"/>
      <c r="AL24" s="8"/>
    </row>
    <row r="25" spans="1:53" s="23" customFormat="1" ht="45.75" customHeight="1">
      <c r="A25" s="69">
        <v>1</v>
      </c>
      <c r="B25" s="16" t="s">
        <v>91</v>
      </c>
      <c r="C25" s="17" t="s">
        <v>20</v>
      </c>
      <c r="D25" s="17"/>
      <c r="E25" s="20">
        <f>14.635-8.245</f>
        <v>6.3900000000000006</v>
      </c>
      <c r="F25" s="20"/>
      <c r="G25" s="19">
        <f>V25+AB25</f>
        <v>336116.68946000002</v>
      </c>
      <c r="H25" s="21"/>
      <c r="I25" s="22"/>
      <c r="J25" s="22"/>
      <c r="K25" s="22"/>
      <c r="L25" s="20"/>
      <c r="M25" s="22"/>
      <c r="N25" s="22"/>
      <c r="O25" s="22"/>
      <c r="P25" s="20"/>
      <c r="Q25" s="22"/>
      <c r="R25" s="22"/>
      <c r="S25" s="22"/>
      <c r="T25" s="20"/>
      <c r="U25" s="19"/>
      <c r="V25" s="19">
        <f>150000+3263.48706</f>
        <v>153263.48706000001</v>
      </c>
      <c r="W25" s="19"/>
      <c r="X25" s="19">
        <f>V25</f>
        <v>153263.48706000001</v>
      </c>
      <c r="Y25" s="19"/>
      <c r="Z25" s="20">
        <f>E25</f>
        <v>6.3900000000000006</v>
      </c>
      <c r="AA25" s="20"/>
      <c r="AB25" s="19">
        <f>186116.68946-3263.48706</f>
        <v>182853.20239999998</v>
      </c>
      <c r="AC25" s="19">
        <f t="shared" ref="AC25:AC28" si="1">AB25*0.96</f>
        <v>175539.07430399998</v>
      </c>
      <c r="AD25" s="19">
        <f t="shared" ref="AD25:AD28" si="2">AB25-AC25</f>
        <v>7314.1280960000004</v>
      </c>
      <c r="AE25" s="19"/>
      <c r="AF25" s="19"/>
      <c r="AG25" s="19"/>
      <c r="AH25" s="75"/>
      <c r="AI25" s="19"/>
      <c r="AJ25" s="100"/>
      <c r="AK25" s="8"/>
      <c r="AL25" s="8"/>
    </row>
    <row r="26" spans="1:53" s="23" customFormat="1" ht="49.5" customHeight="1">
      <c r="A26" s="69">
        <v>2</v>
      </c>
      <c r="B26" s="16" t="s">
        <v>154</v>
      </c>
      <c r="C26" s="17" t="s">
        <v>17</v>
      </c>
      <c r="D26" s="17"/>
      <c r="E26" s="20">
        <f>(2.975-0.02)+(9.02-6.67)</f>
        <v>5.3049999999999997</v>
      </c>
      <c r="F26" s="18"/>
      <c r="G26" s="19">
        <f>(120749.75*1.2)*1.073</f>
        <v>155477.37809999997</v>
      </c>
      <c r="H26" s="21"/>
      <c r="I26" s="22"/>
      <c r="J26" s="22"/>
      <c r="K26" s="22"/>
      <c r="L26" s="20"/>
      <c r="M26" s="22"/>
      <c r="N26" s="22"/>
      <c r="O26" s="22"/>
      <c r="P26" s="20"/>
      <c r="Q26" s="22"/>
      <c r="R26" s="22"/>
      <c r="S26" s="22"/>
      <c r="T26" s="20"/>
      <c r="U26" s="19"/>
      <c r="V26" s="19"/>
      <c r="W26" s="19"/>
      <c r="X26" s="19"/>
      <c r="Y26" s="19"/>
      <c r="Z26" s="20">
        <f>E26</f>
        <v>5.3049999999999997</v>
      </c>
      <c r="AA26" s="20"/>
      <c r="AB26" s="19">
        <f>G26</f>
        <v>155477.37809999997</v>
      </c>
      <c r="AC26" s="19">
        <f>AB26*0.96-0.02</f>
        <v>149258.26297599997</v>
      </c>
      <c r="AD26" s="19">
        <f t="shared" si="2"/>
        <v>6219.1151240000036</v>
      </c>
      <c r="AE26" s="19"/>
      <c r="AF26" s="19"/>
      <c r="AG26" s="19"/>
      <c r="AH26" s="75"/>
      <c r="AI26" s="19"/>
      <c r="AJ26" s="100"/>
      <c r="AK26" s="8"/>
      <c r="AL26" s="8"/>
    </row>
    <row r="27" spans="1:53" s="23" customFormat="1" ht="44.25" customHeight="1">
      <c r="A27" s="69">
        <v>3</v>
      </c>
      <c r="B27" s="16" t="s">
        <v>139</v>
      </c>
      <c r="C27" s="17" t="s">
        <v>17</v>
      </c>
      <c r="D27" s="17"/>
      <c r="E27" s="18">
        <v>1.85</v>
      </c>
      <c r="F27" s="18"/>
      <c r="G27" s="19">
        <f>(39262.3*1.2)*1.073</f>
        <v>50554.137479999998</v>
      </c>
      <c r="H27" s="21"/>
      <c r="I27" s="22"/>
      <c r="J27" s="22"/>
      <c r="K27" s="22"/>
      <c r="L27" s="20"/>
      <c r="M27" s="22"/>
      <c r="N27" s="22"/>
      <c r="O27" s="22"/>
      <c r="P27" s="20"/>
      <c r="Q27" s="22"/>
      <c r="R27" s="22"/>
      <c r="S27" s="22"/>
      <c r="T27" s="20"/>
      <c r="U27" s="19"/>
      <c r="V27" s="19"/>
      <c r="W27" s="19"/>
      <c r="X27" s="19"/>
      <c r="Y27" s="19"/>
      <c r="Z27" s="20">
        <f>E27</f>
        <v>1.85</v>
      </c>
      <c r="AA27" s="20"/>
      <c r="AB27" s="19">
        <f>G27</f>
        <v>50554.137479999998</v>
      </c>
      <c r="AC27" s="19">
        <f t="shared" si="1"/>
        <v>48531.971980799994</v>
      </c>
      <c r="AD27" s="19">
        <f t="shared" si="2"/>
        <v>2022.165499200004</v>
      </c>
      <c r="AE27" s="19"/>
      <c r="AF27" s="19"/>
      <c r="AG27" s="19"/>
      <c r="AH27" s="75"/>
      <c r="AI27" s="19"/>
      <c r="AJ27" s="100"/>
      <c r="AK27" s="8"/>
      <c r="AL27" s="8"/>
    </row>
    <row r="28" spans="1:53" s="23" customFormat="1" ht="33" customHeight="1">
      <c r="A28" s="69">
        <v>4</v>
      </c>
      <c r="B28" s="16" t="s">
        <v>140</v>
      </c>
      <c r="C28" s="17" t="s">
        <v>17</v>
      </c>
      <c r="D28" s="17"/>
      <c r="E28" s="18">
        <v>5.05</v>
      </c>
      <c r="F28" s="18"/>
      <c r="G28" s="19">
        <f>(115141.5*1.2+2000)*1.073</f>
        <v>150402.19539999997</v>
      </c>
      <c r="H28" s="21"/>
      <c r="I28" s="22"/>
      <c r="J28" s="22"/>
      <c r="K28" s="22"/>
      <c r="L28" s="20"/>
      <c r="M28" s="22"/>
      <c r="N28" s="22"/>
      <c r="O28" s="22"/>
      <c r="P28" s="20"/>
      <c r="Q28" s="22"/>
      <c r="R28" s="22"/>
      <c r="S28" s="22"/>
      <c r="T28" s="20"/>
      <c r="U28" s="19"/>
      <c r="V28" s="19"/>
      <c r="W28" s="19"/>
      <c r="X28" s="19"/>
      <c r="Y28" s="19"/>
      <c r="Z28" s="20">
        <f>E28</f>
        <v>5.05</v>
      </c>
      <c r="AA28" s="20"/>
      <c r="AB28" s="19">
        <f>G28</f>
        <v>150402.19539999997</v>
      </c>
      <c r="AC28" s="19">
        <f t="shared" si="1"/>
        <v>144386.10758399995</v>
      </c>
      <c r="AD28" s="19">
        <f t="shared" si="2"/>
        <v>6016.0878160000138</v>
      </c>
      <c r="AE28" s="19"/>
      <c r="AF28" s="19"/>
      <c r="AG28" s="19"/>
      <c r="AH28" s="75" t="s">
        <v>73</v>
      </c>
      <c r="AI28" s="19"/>
      <c r="AJ28" s="100"/>
      <c r="AK28" s="8"/>
      <c r="AL28" s="8"/>
    </row>
    <row r="29" spans="1:53" s="23" customFormat="1" ht="26.25" customHeight="1">
      <c r="A29" s="116"/>
      <c r="B29" s="16" t="s">
        <v>59</v>
      </c>
      <c r="C29" s="17"/>
      <c r="D29" s="17"/>
      <c r="E29" s="56">
        <f>SUM(E25:E28)</f>
        <v>18.594999999999999</v>
      </c>
      <c r="F29" s="56"/>
      <c r="G29" s="19">
        <f>SUM(G25:G28)</f>
        <v>692550.40044</v>
      </c>
      <c r="H29" s="56"/>
      <c r="I29" s="22"/>
      <c r="J29" s="22"/>
      <c r="K29" s="22"/>
      <c r="L29" s="56" t="e">
        <f>SUM(#REF!)</f>
        <v>#REF!</v>
      </c>
      <c r="M29" s="22" t="e">
        <f>SUM(#REF!)</f>
        <v>#REF!</v>
      </c>
      <c r="N29" s="22" t="e">
        <f>SUM(#REF!)</f>
        <v>#REF!</v>
      </c>
      <c r="O29" s="22"/>
      <c r="P29" s="56" t="e">
        <f>SUM(#REF!)</f>
        <v>#REF!</v>
      </c>
      <c r="Q29" s="22" t="e">
        <f>SUM(#REF!)</f>
        <v>#REF!</v>
      </c>
      <c r="R29" s="19" t="e">
        <f>SUM(#REF!)</f>
        <v>#REF!</v>
      </c>
      <c r="S29" s="22"/>
      <c r="T29" s="19">
        <f>SUM(T25:T28)</f>
        <v>0</v>
      </c>
      <c r="U29" s="56"/>
      <c r="V29" s="19">
        <f>SUM(V25:V28)</f>
        <v>153263.48706000001</v>
      </c>
      <c r="W29" s="19"/>
      <c r="X29" s="19">
        <f>SUM(X25:X28)</f>
        <v>153263.48706000001</v>
      </c>
      <c r="Y29" s="19"/>
      <c r="Z29" s="19">
        <f>SUM(Z25:Z28)</f>
        <v>18.594999999999999</v>
      </c>
      <c r="AA29" s="56"/>
      <c r="AB29" s="19">
        <f>SUM(AB25:AB28)</f>
        <v>539286.91337999981</v>
      </c>
      <c r="AC29" s="19">
        <f t="shared" ref="AC29:AD29" si="3">SUM(AC25:AC28)</f>
        <v>517715.41684479988</v>
      </c>
      <c r="AD29" s="19">
        <f t="shared" si="3"/>
        <v>21571.496535200022</v>
      </c>
      <c r="AE29" s="119"/>
      <c r="AF29" s="119"/>
      <c r="AG29" s="119"/>
      <c r="AH29" s="74"/>
      <c r="AI29" s="119"/>
      <c r="AJ29" s="99"/>
      <c r="AK29" s="8"/>
      <c r="AL29" s="8"/>
    </row>
    <row r="30" spans="1:53" s="23" customFormat="1" ht="29.25" customHeight="1">
      <c r="A30" s="116"/>
      <c r="B30" s="16" t="s">
        <v>57</v>
      </c>
      <c r="C30" s="17"/>
      <c r="D30" s="17"/>
      <c r="E30" s="56">
        <f>T30+Z30</f>
        <v>30.33</v>
      </c>
      <c r="F30" s="56"/>
      <c r="G30" s="19">
        <f>V30+AB30</f>
        <v>472054.2</v>
      </c>
      <c r="H30" s="56"/>
      <c r="I30" s="22"/>
      <c r="J30" s="22"/>
      <c r="K30" s="22"/>
      <c r="L30" s="56"/>
      <c r="M30" s="22"/>
      <c r="N30" s="22"/>
      <c r="O30" s="22"/>
      <c r="P30" s="56"/>
      <c r="Q30" s="22"/>
      <c r="R30" s="19"/>
      <c r="S30" s="22"/>
      <c r="T30" s="56">
        <v>21.347999999999999</v>
      </c>
      <c r="U30" s="56"/>
      <c r="V30" s="19">
        <f>329407+74511</f>
        <v>403918</v>
      </c>
      <c r="W30" s="19"/>
      <c r="X30" s="19">
        <f>V30</f>
        <v>403918</v>
      </c>
      <c r="Y30" s="19"/>
      <c r="Z30" s="20">
        <v>8.9819999999999993</v>
      </c>
      <c r="AA30" s="13"/>
      <c r="AB30" s="19">
        <v>68136.2</v>
      </c>
      <c r="AC30" s="19"/>
      <c r="AD30" s="19">
        <f>AB30</f>
        <v>68136.2</v>
      </c>
      <c r="AE30" s="119"/>
      <c r="AF30" s="119"/>
      <c r="AG30" s="119"/>
      <c r="AH30" s="74"/>
      <c r="AI30" s="119"/>
      <c r="AJ30" s="99"/>
      <c r="AK30" s="8"/>
      <c r="AL30" s="8"/>
    </row>
    <row r="31" spans="1:53" s="23" customFormat="1" ht="31.5" customHeight="1">
      <c r="A31" s="157" t="s">
        <v>106</v>
      </c>
      <c r="B31" s="158"/>
      <c r="C31" s="17"/>
      <c r="D31" s="17"/>
      <c r="E31" s="13">
        <f>E29+E30</f>
        <v>48.924999999999997</v>
      </c>
      <c r="F31" s="13"/>
      <c r="G31" s="119">
        <f>G29+G30</f>
        <v>1164604.60044</v>
      </c>
      <c r="H31" s="13"/>
      <c r="I31" s="14"/>
      <c r="J31" s="14"/>
      <c r="K31" s="14"/>
      <c r="L31" s="13"/>
      <c r="M31" s="14"/>
      <c r="N31" s="14"/>
      <c r="O31" s="14"/>
      <c r="P31" s="13"/>
      <c r="Q31" s="14"/>
      <c r="R31" s="119"/>
      <c r="S31" s="14"/>
      <c r="T31" s="13">
        <f>T29+T30</f>
        <v>21.347999999999999</v>
      </c>
      <c r="U31" s="13"/>
      <c r="V31" s="119">
        <f t="shared" ref="V31:X31" si="4">V29+V30</f>
        <v>557181.48705999996</v>
      </c>
      <c r="W31" s="119">
        <f t="shared" si="4"/>
        <v>0</v>
      </c>
      <c r="X31" s="119">
        <f t="shared" si="4"/>
        <v>557181.48705999996</v>
      </c>
      <c r="Y31" s="119"/>
      <c r="Z31" s="13">
        <f>Z29+Z30</f>
        <v>27.576999999999998</v>
      </c>
      <c r="AA31" s="13"/>
      <c r="AB31" s="119">
        <f>AB29+AB30</f>
        <v>607423.11337999976</v>
      </c>
      <c r="AC31" s="119">
        <f t="shared" ref="AC31:AD31" si="5">AC29+AC30</f>
        <v>517715.41684479988</v>
      </c>
      <c r="AD31" s="119">
        <f t="shared" si="5"/>
        <v>89707.696535200026</v>
      </c>
      <c r="AE31" s="119"/>
      <c r="AF31" s="119"/>
      <c r="AG31" s="119"/>
      <c r="AH31" s="74"/>
      <c r="AI31" s="119"/>
      <c r="AJ31" s="99"/>
      <c r="AK31" s="8"/>
      <c r="AL31" s="8"/>
    </row>
    <row r="32" spans="1:53" s="23" customFormat="1" ht="27.75" customHeight="1">
      <c r="A32" s="159" t="s">
        <v>22</v>
      </c>
      <c r="B32" s="146"/>
      <c r="C32" s="146"/>
      <c r="D32" s="146"/>
      <c r="E32" s="146"/>
      <c r="F32" s="115"/>
      <c r="G32" s="119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9"/>
      <c r="V32" s="19"/>
      <c r="W32" s="19"/>
      <c r="X32" s="19"/>
      <c r="Y32" s="19"/>
      <c r="Z32" s="19"/>
      <c r="AA32" s="17"/>
      <c r="AB32" s="19"/>
      <c r="AC32" s="19"/>
      <c r="AD32" s="19"/>
      <c r="AE32" s="19"/>
      <c r="AF32" s="19"/>
      <c r="AG32" s="19"/>
      <c r="AH32" s="75"/>
      <c r="AI32" s="19"/>
      <c r="AJ32" s="100"/>
      <c r="AK32" s="8"/>
      <c r="AL32" s="8"/>
    </row>
    <row r="33" spans="1:38" s="23" customFormat="1" ht="45.75" customHeight="1">
      <c r="A33" s="69">
        <v>5</v>
      </c>
      <c r="B33" s="16" t="s">
        <v>58</v>
      </c>
      <c r="C33" s="17" t="s">
        <v>23</v>
      </c>
      <c r="D33" s="17"/>
      <c r="E33" s="18">
        <f>42.63-37</f>
        <v>5.6300000000000026</v>
      </c>
      <c r="F33" s="18"/>
      <c r="G33" s="19">
        <v>141076.03742000001</v>
      </c>
      <c r="H33" s="21"/>
      <c r="I33" s="22"/>
      <c r="J33" s="22"/>
      <c r="K33" s="22"/>
      <c r="L33" s="27"/>
      <c r="M33" s="28"/>
      <c r="N33" s="22"/>
      <c r="O33" s="22"/>
      <c r="P33" s="20"/>
      <c r="Q33" s="22"/>
      <c r="R33" s="22"/>
      <c r="S33" s="22"/>
      <c r="T33" s="20">
        <f>E33</f>
        <v>5.6300000000000026</v>
      </c>
      <c r="U33" s="19"/>
      <c r="V33" s="19">
        <f>G33</f>
        <v>141076.03742000001</v>
      </c>
      <c r="W33" s="19"/>
      <c r="X33" s="19">
        <f>V33</f>
        <v>141076.03742000001</v>
      </c>
      <c r="Y33" s="19"/>
      <c r="Z33" s="19"/>
      <c r="AA33" s="20"/>
      <c r="AB33" s="19"/>
      <c r="AC33" s="19"/>
      <c r="AD33" s="19"/>
      <c r="AE33" s="19"/>
      <c r="AF33" s="19"/>
      <c r="AG33" s="19"/>
      <c r="AH33" s="75"/>
      <c r="AI33" s="19"/>
      <c r="AJ33" s="100"/>
      <c r="AK33" s="8"/>
      <c r="AL33" s="8"/>
    </row>
    <row r="34" spans="1:38" s="23" customFormat="1" ht="63.75" customHeight="1">
      <c r="A34" s="69">
        <v>6</v>
      </c>
      <c r="B34" s="16" t="s">
        <v>155</v>
      </c>
      <c r="C34" s="17" t="s">
        <v>17</v>
      </c>
      <c r="D34" s="17"/>
      <c r="E34" s="18">
        <f>4-0.015</f>
        <v>3.9849999999999999</v>
      </c>
      <c r="F34" s="18"/>
      <c r="G34" s="19">
        <f>80727.53*1.2*1.073</f>
        <v>103944.76762799999</v>
      </c>
      <c r="H34" s="21"/>
      <c r="I34" s="22"/>
      <c r="J34" s="22"/>
      <c r="K34" s="22"/>
      <c r="L34" s="27"/>
      <c r="M34" s="28"/>
      <c r="N34" s="22"/>
      <c r="O34" s="22"/>
      <c r="P34" s="20"/>
      <c r="Q34" s="22"/>
      <c r="R34" s="22"/>
      <c r="S34" s="22"/>
      <c r="T34" s="20"/>
      <c r="U34" s="19"/>
      <c r="V34" s="19"/>
      <c r="W34" s="19"/>
      <c r="X34" s="19"/>
      <c r="Y34" s="19"/>
      <c r="Z34" s="20">
        <f>E34</f>
        <v>3.9849999999999999</v>
      </c>
      <c r="AA34" s="20"/>
      <c r="AB34" s="19">
        <f>G34</f>
        <v>103944.76762799999</v>
      </c>
      <c r="AC34" s="19">
        <f t="shared" ref="AC34" si="6">AB34*0.96</f>
        <v>99786.976922879985</v>
      </c>
      <c r="AD34" s="19">
        <f t="shared" ref="AD34" si="7">AB34-AC34</f>
        <v>4157.7907051200018</v>
      </c>
      <c r="AE34" s="19"/>
      <c r="AF34" s="19"/>
      <c r="AG34" s="19"/>
      <c r="AH34" s="75"/>
      <c r="AI34" s="19"/>
      <c r="AJ34" s="100"/>
      <c r="AK34" s="8"/>
      <c r="AL34" s="8"/>
    </row>
    <row r="35" spans="1:38" s="23" customFormat="1" ht="29.25" customHeight="1">
      <c r="A35" s="70"/>
      <c r="B35" s="16" t="s">
        <v>59</v>
      </c>
      <c r="C35" s="17"/>
      <c r="D35" s="17"/>
      <c r="E35" s="18">
        <f>SUM(E33:E34)</f>
        <v>9.615000000000002</v>
      </c>
      <c r="F35" s="18"/>
      <c r="G35" s="19">
        <f>SUM(G33:G34)</f>
        <v>245020.80504800001</v>
      </c>
      <c r="H35" s="21"/>
      <c r="I35" s="22"/>
      <c r="J35" s="22"/>
      <c r="K35" s="22"/>
      <c r="L35" s="27"/>
      <c r="M35" s="28"/>
      <c r="N35" s="22"/>
      <c r="O35" s="22"/>
      <c r="P35" s="20"/>
      <c r="Q35" s="22"/>
      <c r="R35" s="22"/>
      <c r="S35" s="22"/>
      <c r="T35" s="18">
        <f>SUM(T33:T33)</f>
        <v>5.6300000000000026</v>
      </c>
      <c r="U35" s="18"/>
      <c r="V35" s="19">
        <f>SUM(V33:V33)</f>
        <v>141076.03742000001</v>
      </c>
      <c r="W35" s="19">
        <f>SUM(W33:W33)</f>
        <v>0</v>
      </c>
      <c r="X35" s="19">
        <f>SUM(X33:X33)</f>
        <v>141076.03742000001</v>
      </c>
      <c r="Y35" s="19"/>
      <c r="Z35" s="20">
        <f>SUM(Z34)</f>
        <v>3.9849999999999999</v>
      </c>
      <c r="AA35" s="20"/>
      <c r="AB35" s="19">
        <f>AB34</f>
        <v>103944.76762799999</v>
      </c>
      <c r="AC35" s="19">
        <f>AC34</f>
        <v>99786.976922879985</v>
      </c>
      <c r="AD35" s="19">
        <f>AD34</f>
        <v>4157.7907051200018</v>
      </c>
      <c r="AE35" s="19"/>
      <c r="AF35" s="19"/>
      <c r="AG35" s="19"/>
      <c r="AH35" s="75"/>
      <c r="AI35" s="19"/>
      <c r="AJ35" s="100"/>
      <c r="AK35" s="8"/>
      <c r="AL35" s="8"/>
    </row>
    <row r="36" spans="1:38" s="23" customFormat="1" ht="26.25" customHeight="1">
      <c r="A36" s="70"/>
      <c r="B36" s="16" t="s">
        <v>57</v>
      </c>
      <c r="C36" s="17"/>
      <c r="D36" s="17"/>
      <c r="E36" s="18">
        <f>T36+Z36</f>
        <v>15.858000000000001</v>
      </c>
      <c r="F36" s="18"/>
      <c r="G36" s="19">
        <f>V36+AB36</f>
        <v>123647.5</v>
      </c>
      <c r="H36" s="21"/>
      <c r="I36" s="22"/>
      <c r="J36" s="22"/>
      <c r="K36" s="22"/>
      <c r="L36" s="27"/>
      <c r="M36" s="28"/>
      <c r="N36" s="22"/>
      <c r="O36" s="22"/>
      <c r="P36" s="20"/>
      <c r="Q36" s="22"/>
      <c r="R36" s="22"/>
      <c r="S36" s="22"/>
      <c r="T36" s="18">
        <v>10.148</v>
      </c>
      <c r="U36" s="18"/>
      <c r="V36" s="19">
        <v>76863</v>
      </c>
      <c r="W36" s="19"/>
      <c r="X36" s="19">
        <f>V36</f>
        <v>76863</v>
      </c>
      <c r="Y36" s="19"/>
      <c r="Z36" s="18">
        <v>5.71</v>
      </c>
      <c r="AA36" s="20"/>
      <c r="AB36" s="19">
        <v>46784.5</v>
      </c>
      <c r="AC36" s="20"/>
      <c r="AD36" s="19">
        <f>AB36</f>
        <v>46784.5</v>
      </c>
      <c r="AE36" s="19"/>
      <c r="AF36" s="19"/>
      <c r="AG36" s="19"/>
      <c r="AH36" s="75"/>
      <c r="AI36" s="19"/>
      <c r="AJ36" s="100"/>
      <c r="AK36" s="8"/>
      <c r="AL36" s="8"/>
    </row>
    <row r="37" spans="1:38" s="23" customFormat="1" ht="37.5" customHeight="1">
      <c r="A37" s="157" t="s">
        <v>108</v>
      </c>
      <c r="B37" s="158"/>
      <c r="C37" s="17"/>
      <c r="D37" s="17"/>
      <c r="E37" s="13">
        <f>SUM(E35:E36)</f>
        <v>25.473000000000003</v>
      </c>
      <c r="F37" s="13"/>
      <c r="G37" s="119">
        <f>SUM(G35:G36)</f>
        <v>368668.30504800001</v>
      </c>
      <c r="H37" s="13" t="e">
        <f>SUM(#REF!)</f>
        <v>#REF!</v>
      </c>
      <c r="I37" s="14" t="e">
        <f>SUM(#REF!)</f>
        <v>#REF!</v>
      </c>
      <c r="J37" s="14" t="e">
        <f>SUM(#REF!)</f>
        <v>#REF!</v>
      </c>
      <c r="K37" s="14"/>
      <c r="L37" s="13" t="e">
        <f>SUM(#REF!)</f>
        <v>#REF!</v>
      </c>
      <c r="M37" s="14" t="e">
        <f>SUM(#REF!)</f>
        <v>#REF!</v>
      </c>
      <c r="N37" s="14" t="e">
        <f>SUM(#REF!)</f>
        <v>#REF!</v>
      </c>
      <c r="O37" s="14" t="e">
        <f>SUM(#REF!)</f>
        <v>#REF!</v>
      </c>
      <c r="P37" s="33" t="e">
        <f>SUM(#REF!)</f>
        <v>#REF!</v>
      </c>
      <c r="Q37" s="14" t="e">
        <f>SUM(#REF!)</f>
        <v>#REF!</v>
      </c>
      <c r="R37" s="14" t="e">
        <f>SUM(#REF!)</f>
        <v>#REF!</v>
      </c>
      <c r="S37" s="14"/>
      <c r="T37" s="13">
        <f>SUM(T35:T36)</f>
        <v>15.778000000000002</v>
      </c>
      <c r="U37" s="13"/>
      <c r="V37" s="119">
        <f>SUM(V35:V36)</f>
        <v>217939.03742000001</v>
      </c>
      <c r="W37" s="119">
        <f t="shared" ref="W37:X37" si="8">SUM(W35:W36)</f>
        <v>0</v>
      </c>
      <c r="X37" s="119">
        <f t="shared" si="8"/>
        <v>217939.03742000001</v>
      </c>
      <c r="Y37" s="119"/>
      <c r="Z37" s="119">
        <f>SUM(Z35:Z36)</f>
        <v>9.6950000000000003</v>
      </c>
      <c r="AA37" s="13"/>
      <c r="AB37" s="119">
        <f>SUM(AB35:AB36)</f>
        <v>150729.267628</v>
      </c>
      <c r="AC37" s="119">
        <f t="shared" ref="AC37:AD37" si="9">SUM(AC35:AC36)</f>
        <v>99786.976922879985</v>
      </c>
      <c r="AD37" s="119">
        <f t="shared" si="9"/>
        <v>50942.290705120002</v>
      </c>
      <c r="AE37" s="119"/>
      <c r="AF37" s="119"/>
      <c r="AG37" s="119"/>
      <c r="AH37" s="74"/>
      <c r="AI37" s="119"/>
      <c r="AJ37" s="99"/>
      <c r="AK37" s="8"/>
      <c r="AL37" s="8"/>
    </row>
    <row r="38" spans="1:38" s="23" customFormat="1" ht="33.75" customHeight="1">
      <c r="A38" s="159" t="s">
        <v>24</v>
      </c>
      <c r="B38" s="146"/>
      <c r="C38" s="146"/>
      <c r="D38" s="146"/>
      <c r="E38" s="146"/>
      <c r="F38" s="115"/>
      <c r="G38" s="119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9"/>
      <c r="V38" s="19"/>
      <c r="W38" s="19"/>
      <c r="X38" s="19"/>
      <c r="Y38" s="19"/>
      <c r="Z38" s="19"/>
      <c r="AA38" s="17"/>
      <c r="AB38" s="19"/>
      <c r="AC38" s="19"/>
      <c r="AD38" s="19"/>
      <c r="AE38" s="19"/>
      <c r="AF38" s="19"/>
      <c r="AG38" s="19"/>
      <c r="AH38" s="75"/>
      <c r="AI38" s="19"/>
      <c r="AJ38" s="100"/>
      <c r="AK38" s="8"/>
      <c r="AL38" s="8"/>
    </row>
    <row r="39" spans="1:38" s="23" customFormat="1" ht="43.5" hidden="1" customHeight="1">
      <c r="A39" s="70"/>
      <c r="B39" s="16" t="s">
        <v>37</v>
      </c>
      <c r="C39" s="17" t="s">
        <v>29</v>
      </c>
      <c r="D39" s="17"/>
      <c r="E39" s="18"/>
      <c r="F39" s="18"/>
      <c r="G39" s="19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9"/>
      <c r="V39" s="19"/>
      <c r="W39" s="19"/>
      <c r="X39" s="19"/>
      <c r="Y39" s="19"/>
      <c r="Z39" s="19"/>
      <c r="AA39" s="29"/>
      <c r="AB39" s="24"/>
      <c r="AC39" s="24"/>
      <c r="AD39" s="24"/>
      <c r="AE39" s="24"/>
      <c r="AF39" s="24"/>
      <c r="AG39" s="19"/>
      <c r="AH39" s="75"/>
      <c r="AI39" s="19"/>
      <c r="AJ39" s="100"/>
      <c r="AK39" s="8"/>
      <c r="AL39" s="8"/>
    </row>
    <row r="40" spans="1:38" s="23" customFormat="1" ht="45.2" hidden="1" customHeight="1">
      <c r="A40" s="70">
        <v>10</v>
      </c>
      <c r="B40" s="16" t="s">
        <v>38</v>
      </c>
      <c r="C40" s="17" t="s">
        <v>17</v>
      </c>
      <c r="D40" s="17"/>
      <c r="E40" s="20"/>
      <c r="F40" s="20"/>
      <c r="G40" s="19"/>
      <c r="H40" s="21"/>
      <c r="I40" s="22"/>
      <c r="J40" s="22"/>
      <c r="K40" s="22"/>
      <c r="L40" s="20"/>
      <c r="M40" s="22"/>
      <c r="N40" s="22"/>
      <c r="O40" s="22"/>
      <c r="P40" s="20"/>
      <c r="Q40" s="22"/>
      <c r="R40" s="22"/>
      <c r="S40" s="22"/>
      <c r="T40" s="20"/>
      <c r="U40" s="19"/>
      <c r="V40" s="19"/>
      <c r="W40" s="19"/>
      <c r="X40" s="19"/>
      <c r="Y40" s="19"/>
      <c r="Z40" s="19"/>
      <c r="AA40" s="20"/>
      <c r="AB40" s="19"/>
      <c r="AC40" s="19"/>
      <c r="AD40" s="19"/>
      <c r="AE40" s="19"/>
      <c r="AF40" s="19"/>
      <c r="AG40" s="19"/>
      <c r="AH40" s="75"/>
      <c r="AI40" s="19"/>
      <c r="AJ40" s="100"/>
      <c r="AK40" s="8"/>
      <c r="AL40" s="8"/>
    </row>
    <row r="41" spans="1:38" s="23" customFormat="1" ht="42.75" customHeight="1">
      <c r="A41" s="69">
        <v>7</v>
      </c>
      <c r="B41" s="16" t="s">
        <v>141</v>
      </c>
      <c r="C41" s="17" t="s">
        <v>17</v>
      </c>
      <c r="D41" s="17"/>
      <c r="E41" s="18">
        <f>0.9-0.032</f>
        <v>0.86799999999999999</v>
      </c>
      <c r="F41" s="20"/>
      <c r="G41" s="19">
        <v>23548.951959999999</v>
      </c>
      <c r="H41" s="21"/>
      <c r="I41" s="22"/>
      <c r="J41" s="22"/>
      <c r="K41" s="22"/>
      <c r="L41" s="20"/>
      <c r="M41" s="22"/>
      <c r="N41" s="22"/>
      <c r="O41" s="22"/>
      <c r="P41" s="20"/>
      <c r="Q41" s="22"/>
      <c r="R41" s="22"/>
      <c r="S41" s="22"/>
      <c r="T41" s="20"/>
      <c r="U41" s="19"/>
      <c r="V41" s="19"/>
      <c r="W41" s="19"/>
      <c r="X41" s="19"/>
      <c r="Y41" s="19"/>
      <c r="Z41" s="18">
        <f>E41</f>
        <v>0.86799999999999999</v>
      </c>
      <c r="AA41" s="20"/>
      <c r="AB41" s="19">
        <f>G41</f>
        <v>23548.951959999999</v>
      </c>
      <c r="AC41" s="20">
        <f t="shared" ref="AC41:AC42" si="10">AB41*0.96</f>
        <v>22606.993881599999</v>
      </c>
      <c r="AD41" s="19">
        <f t="shared" ref="AD41:AD42" si="11">AB41-AC41</f>
        <v>941.95807839999907</v>
      </c>
      <c r="AE41" s="19"/>
      <c r="AF41" s="19"/>
      <c r="AG41" s="19" t="s">
        <v>19</v>
      </c>
      <c r="AH41" s="75" t="s">
        <v>0</v>
      </c>
      <c r="AI41" s="19"/>
      <c r="AJ41" s="100"/>
      <c r="AK41" s="8"/>
      <c r="AL41" s="8"/>
    </row>
    <row r="42" spans="1:38" s="23" customFormat="1" ht="67.5" customHeight="1">
      <c r="A42" s="69">
        <v>8</v>
      </c>
      <c r="B42" s="16" t="s">
        <v>142</v>
      </c>
      <c r="C42" s="17" t="s">
        <v>17</v>
      </c>
      <c r="D42" s="17"/>
      <c r="E42" s="18">
        <v>4.7640000000000002</v>
      </c>
      <c r="F42" s="20"/>
      <c r="G42" s="19">
        <f>114046.85*1.2*1.073</f>
        <v>146846.72406000001</v>
      </c>
      <c r="H42" s="21"/>
      <c r="I42" s="22"/>
      <c r="J42" s="22"/>
      <c r="K42" s="22"/>
      <c r="L42" s="20"/>
      <c r="M42" s="22"/>
      <c r="N42" s="22"/>
      <c r="O42" s="22"/>
      <c r="P42" s="20"/>
      <c r="Q42" s="22"/>
      <c r="R42" s="22"/>
      <c r="S42" s="22"/>
      <c r="T42" s="20"/>
      <c r="U42" s="19"/>
      <c r="V42" s="19"/>
      <c r="W42" s="19"/>
      <c r="X42" s="19"/>
      <c r="Y42" s="19"/>
      <c r="Z42" s="18">
        <f>E42</f>
        <v>4.7640000000000002</v>
      </c>
      <c r="AA42" s="20"/>
      <c r="AB42" s="19">
        <f>G42</f>
        <v>146846.72406000001</v>
      </c>
      <c r="AC42" s="20">
        <f t="shared" si="10"/>
        <v>140972.8550976</v>
      </c>
      <c r="AD42" s="19">
        <f t="shared" si="11"/>
        <v>5873.8689624000108</v>
      </c>
      <c r="AE42" s="19"/>
      <c r="AF42" s="19"/>
      <c r="AG42" s="19"/>
      <c r="AH42" s="75"/>
      <c r="AI42" s="19"/>
      <c r="AJ42" s="100"/>
      <c r="AK42" s="8"/>
      <c r="AL42" s="8"/>
    </row>
    <row r="43" spans="1:38" s="23" customFormat="1" ht="31.5" customHeight="1">
      <c r="A43" s="157" t="s">
        <v>109</v>
      </c>
      <c r="B43" s="158"/>
      <c r="C43" s="17"/>
      <c r="D43" s="17"/>
      <c r="E43" s="13">
        <f>SUM(E41:E42)</f>
        <v>5.6320000000000006</v>
      </c>
      <c r="F43" s="13"/>
      <c r="G43" s="119">
        <f>SUM(G41:G42)</f>
        <v>170395.67602000001</v>
      </c>
      <c r="H43" s="13" t="e">
        <f>SUM(#REF!)</f>
        <v>#REF!</v>
      </c>
      <c r="I43" s="14" t="e">
        <f>SUM(#REF!)</f>
        <v>#REF!</v>
      </c>
      <c r="J43" s="14" t="e">
        <f>SUM(#REF!)</f>
        <v>#REF!</v>
      </c>
      <c r="K43" s="14"/>
      <c r="L43" s="13" t="e">
        <f>SUM(#REF!)</f>
        <v>#REF!</v>
      </c>
      <c r="M43" s="14"/>
      <c r="N43" s="14"/>
      <c r="O43" s="14"/>
      <c r="P43" s="13">
        <f>SUM(P40:P40)</f>
        <v>0</v>
      </c>
      <c r="Q43" s="14">
        <f>SUM(Q40:Q40)</f>
        <v>0</v>
      </c>
      <c r="R43" s="14">
        <f>SUM(R40:R40)</f>
        <v>0</v>
      </c>
      <c r="S43" s="14"/>
      <c r="T43" s="13"/>
      <c r="U43" s="13"/>
      <c r="V43" s="119"/>
      <c r="W43" s="119"/>
      <c r="X43" s="119"/>
      <c r="Y43" s="119"/>
      <c r="Z43" s="13">
        <f>SUM(Z41:Z42)</f>
        <v>5.6320000000000006</v>
      </c>
      <c r="AA43" s="13"/>
      <c r="AB43" s="119">
        <f>SUM(AB41:AB42)</f>
        <v>170395.67602000001</v>
      </c>
      <c r="AC43" s="119">
        <f>SUM(AC41:AC42)</f>
        <v>163579.8489792</v>
      </c>
      <c r="AD43" s="119">
        <f>SUM(AD41:AD42)</f>
        <v>6815.8270408000099</v>
      </c>
      <c r="AE43" s="119"/>
      <c r="AF43" s="119"/>
      <c r="AG43" s="119"/>
      <c r="AH43" s="74"/>
      <c r="AI43" s="119"/>
      <c r="AJ43" s="99"/>
      <c r="AK43" s="8"/>
      <c r="AL43" s="8"/>
    </row>
    <row r="44" spans="1:38" s="23" customFormat="1" ht="33" customHeight="1">
      <c r="A44" s="159" t="s">
        <v>25</v>
      </c>
      <c r="B44" s="146"/>
      <c r="C44" s="146"/>
      <c r="D44" s="146"/>
      <c r="E44" s="146"/>
      <c r="F44" s="115"/>
      <c r="G44" s="119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9"/>
      <c r="V44" s="19"/>
      <c r="W44" s="19"/>
      <c r="X44" s="19"/>
      <c r="Y44" s="19"/>
      <c r="Z44" s="19"/>
      <c r="AA44" s="17"/>
      <c r="AB44" s="19"/>
      <c r="AC44" s="19"/>
      <c r="AD44" s="19"/>
      <c r="AE44" s="19"/>
      <c r="AF44" s="19"/>
      <c r="AG44" s="19"/>
      <c r="AH44" s="75"/>
      <c r="AI44" s="19"/>
      <c r="AJ44" s="100"/>
      <c r="AK44" s="8"/>
      <c r="AL44" s="8"/>
    </row>
    <row r="45" spans="1:38" s="23" customFormat="1" ht="46.5" customHeight="1">
      <c r="A45" s="69">
        <v>9</v>
      </c>
      <c r="B45" s="26" t="s">
        <v>92</v>
      </c>
      <c r="C45" s="17" t="s">
        <v>17</v>
      </c>
      <c r="D45" s="17"/>
      <c r="E45" s="21">
        <v>3</v>
      </c>
      <c r="F45" s="21"/>
      <c r="G45" s="19">
        <f>(59385.18*1.2)*1.073</f>
        <v>76464.357768000002</v>
      </c>
      <c r="H45" s="21"/>
      <c r="I45" s="22"/>
      <c r="J45" s="22"/>
      <c r="K45" s="22"/>
      <c r="L45" s="27"/>
      <c r="M45" s="28"/>
      <c r="N45" s="22"/>
      <c r="O45" s="22"/>
      <c r="P45" s="20"/>
      <c r="Q45" s="22"/>
      <c r="R45" s="22"/>
      <c r="S45" s="22"/>
      <c r="T45" s="20"/>
      <c r="U45" s="19"/>
      <c r="V45" s="19"/>
      <c r="W45" s="19"/>
      <c r="X45" s="19"/>
      <c r="Y45" s="19"/>
      <c r="Z45" s="21">
        <v>3</v>
      </c>
      <c r="AA45" s="20"/>
      <c r="AB45" s="19">
        <f>G45</f>
        <v>76464.357768000002</v>
      </c>
      <c r="AC45" s="19">
        <f t="shared" ref="AC45" si="12">AB45*0.96</f>
        <v>73405.783457280006</v>
      </c>
      <c r="AD45" s="19">
        <f t="shared" ref="AD45" si="13">AB45-AC45</f>
        <v>3058.574310719996</v>
      </c>
      <c r="AE45" s="19"/>
      <c r="AF45" s="19"/>
      <c r="AG45" s="19"/>
      <c r="AH45" s="75"/>
      <c r="AI45" s="19"/>
      <c r="AJ45" s="100"/>
      <c r="AK45" s="8"/>
      <c r="AL45" s="8"/>
    </row>
    <row r="46" spans="1:38" s="23" customFormat="1" ht="30" customHeight="1">
      <c r="A46" s="157" t="s">
        <v>110</v>
      </c>
      <c r="B46" s="158"/>
      <c r="C46" s="17"/>
      <c r="D46" s="17"/>
      <c r="E46" s="13">
        <f>SUM(E45:E45)</f>
        <v>3</v>
      </c>
      <c r="F46" s="13"/>
      <c r="G46" s="119">
        <f>SUM(G45:G45)</f>
        <v>76464.357768000002</v>
      </c>
      <c r="H46" s="13" t="e">
        <f>SUM(#REF!)</f>
        <v>#REF!</v>
      </c>
      <c r="I46" s="14" t="e">
        <f>SUM(#REF!)</f>
        <v>#REF!</v>
      </c>
      <c r="J46" s="14" t="e">
        <f>SUM(#REF!)</f>
        <v>#REF!</v>
      </c>
      <c r="K46" s="14"/>
      <c r="L46" s="13" t="e">
        <f>SUM(#REF!)</f>
        <v>#REF!</v>
      </c>
      <c r="M46" s="14" t="e">
        <f>SUM(#REF!)</f>
        <v>#REF!</v>
      </c>
      <c r="N46" s="14" t="e">
        <f>SUM(#REF!)</f>
        <v>#REF!</v>
      </c>
      <c r="O46" s="14"/>
      <c r="P46" s="13" t="e">
        <f>SUM(#REF!)</f>
        <v>#REF!</v>
      </c>
      <c r="Q46" s="14" t="e">
        <f>SUM(#REF!)</f>
        <v>#REF!</v>
      </c>
      <c r="R46" s="14" t="e">
        <f>SUM(#REF!)</f>
        <v>#REF!</v>
      </c>
      <c r="S46" s="14"/>
      <c r="T46" s="13"/>
      <c r="U46" s="13"/>
      <c r="V46" s="119"/>
      <c r="W46" s="119"/>
      <c r="X46" s="119"/>
      <c r="Y46" s="119"/>
      <c r="Z46" s="13">
        <f>SUM(Z45:Z45)</f>
        <v>3</v>
      </c>
      <c r="AA46" s="13"/>
      <c r="AB46" s="119">
        <f>SUM(AB45:AB45)</f>
        <v>76464.357768000002</v>
      </c>
      <c r="AC46" s="119">
        <f>SUM(AC45:AC45)</f>
        <v>73405.783457280006</v>
      </c>
      <c r="AD46" s="119">
        <f>SUM(AD45:AD45)</f>
        <v>3058.574310719996</v>
      </c>
      <c r="AE46" s="119"/>
      <c r="AF46" s="119"/>
      <c r="AG46" s="119"/>
      <c r="AH46" s="74"/>
      <c r="AI46" s="119"/>
      <c r="AJ46" s="99"/>
      <c r="AK46" s="8"/>
      <c r="AL46" s="8"/>
    </row>
    <row r="47" spans="1:38" s="23" customFormat="1" ht="30.75" customHeight="1">
      <c r="A47" s="159" t="s">
        <v>26</v>
      </c>
      <c r="B47" s="146"/>
      <c r="C47" s="146"/>
      <c r="D47" s="146"/>
      <c r="E47" s="146"/>
      <c r="F47" s="115"/>
      <c r="G47" s="119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9"/>
      <c r="V47" s="19"/>
      <c r="W47" s="19"/>
      <c r="X47" s="19"/>
      <c r="Y47" s="19"/>
      <c r="Z47" s="19"/>
      <c r="AA47" s="17"/>
      <c r="AB47" s="19"/>
      <c r="AC47" s="19"/>
      <c r="AD47" s="19"/>
      <c r="AE47" s="19"/>
      <c r="AF47" s="19"/>
      <c r="AG47" s="19"/>
      <c r="AH47" s="75"/>
      <c r="AI47" s="19"/>
      <c r="AJ47" s="100"/>
      <c r="AK47" s="8"/>
      <c r="AL47" s="8"/>
    </row>
    <row r="48" spans="1:38" s="23" customFormat="1" ht="49.5" hidden="1" customHeight="1">
      <c r="A48" s="70">
        <v>19</v>
      </c>
      <c r="B48" s="26" t="s">
        <v>40</v>
      </c>
      <c r="C48" s="17" t="s">
        <v>17</v>
      </c>
      <c r="D48" s="17"/>
      <c r="E48" s="29"/>
      <c r="F48" s="29"/>
      <c r="G48" s="19"/>
      <c r="H48" s="21"/>
      <c r="I48" s="22"/>
      <c r="J48" s="22"/>
      <c r="K48" s="22"/>
      <c r="L48" s="27"/>
      <c r="M48" s="28"/>
      <c r="N48" s="22"/>
      <c r="O48" s="22"/>
      <c r="P48" s="20"/>
      <c r="Q48" s="22"/>
      <c r="R48" s="22"/>
      <c r="S48" s="22"/>
      <c r="T48" s="29"/>
      <c r="U48" s="19"/>
      <c r="V48" s="19"/>
      <c r="W48" s="19"/>
      <c r="X48" s="19"/>
      <c r="Y48" s="19"/>
      <c r="Z48" s="19"/>
      <c r="AA48" s="20"/>
      <c r="AB48" s="19"/>
      <c r="AC48" s="19"/>
      <c r="AD48" s="19"/>
      <c r="AE48" s="19"/>
      <c r="AF48" s="19"/>
      <c r="AG48" s="19"/>
      <c r="AH48" s="75"/>
      <c r="AI48" s="19"/>
      <c r="AJ48" s="100"/>
      <c r="AK48" s="8"/>
      <c r="AL48" s="8"/>
    </row>
    <row r="49" spans="1:38" s="23" customFormat="1" ht="32.25" customHeight="1">
      <c r="A49" s="69">
        <v>10</v>
      </c>
      <c r="B49" s="26" t="s">
        <v>60</v>
      </c>
      <c r="C49" s="17" t="s">
        <v>17</v>
      </c>
      <c r="D49" s="17"/>
      <c r="E49" s="29">
        <v>3.6</v>
      </c>
      <c r="F49" s="29"/>
      <c r="G49" s="19">
        <v>89465.626940000002</v>
      </c>
      <c r="H49" s="21"/>
      <c r="I49" s="22"/>
      <c r="J49" s="22"/>
      <c r="K49" s="22"/>
      <c r="L49" s="27"/>
      <c r="M49" s="28"/>
      <c r="N49" s="22"/>
      <c r="O49" s="22"/>
      <c r="P49" s="20"/>
      <c r="Q49" s="22"/>
      <c r="R49" s="22"/>
      <c r="S49" s="22"/>
      <c r="T49" s="20">
        <f>E49</f>
        <v>3.6</v>
      </c>
      <c r="U49" s="24"/>
      <c r="V49" s="24">
        <f>G49</f>
        <v>89465.626940000002</v>
      </c>
      <c r="W49" s="24"/>
      <c r="X49" s="24">
        <f>V49</f>
        <v>89465.626940000002</v>
      </c>
      <c r="Y49" s="24"/>
      <c r="Z49" s="19"/>
      <c r="AA49" s="20"/>
      <c r="AB49" s="24"/>
      <c r="AC49" s="24"/>
      <c r="AD49" s="24"/>
      <c r="AE49" s="24"/>
      <c r="AF49" s="24"/>
      <c r="AG49" s="19"/>
      <c r="AH49" s="75"/>
      <c r="AI49" s="19"/>
      <c r="AJ49" s="100"/>
      <c r="AK49" s="8"/>
      <c r="AL49" s="8"/>
    </row>
    <row r="50" spans="1:38" s="23" customFormat="1" ht="43.5" hidden="1" customHeight="1">
      <c r="A50" s="69"/>
      <c r="B50" s="26" t="s">
        <v>47</v>
      </c>
      <c r="C50" s="17" t="s">
        <v>17</v>
      </c>
      <c r="D50" s="17"/>
      <c r="E50" s="29"/>
      <c r="F50" s="29"/>
      <c r="G50" s="19"/>
      <c r="H50" s="21"/>
      <c r="I50" s="22"/>
      <c r="J50" s="22"/>
      <c r="K50" s="22"/>
      <c r="L50" s="27"/>
      <c r="M50" s="28"/>
      <c r="N50" s="22"/>
      <c r="O50" s="22"/>
      <c r="P50" s="20"/>
      <c r="Q50" s="22"/>
      <c r="R50" s="22"/>
      <c r="S50" s="22"/>
      <c r="T50" s="29"/>
      <c r="U50" s="19"/>
      <c r="V50" s="19"/>
      <c r="W50" s="19"/>
      <c r="X50" s="19"/>
      <c r="Y50" s="19"/>
      <c r="Z50" s="19"/>
      <c r="AA50" s="20"/>
      <c r="AB50" s="24"/>
      <c r="AC50" s="24"/>
      <c r="AD50" s="24"/>
      <c r="AE50" s="24"/>
      <c r="AF50" s="24"/>
      <c r="AG50" s="19"/>
      <c r="AH50" s="75"/>
      <c r="AI50" s="19"/>
      <c r="AJ50" s="100"/>
      <c r="AK50" s="8"/>
      <c r="AL50" s="8"/>
    </row>
    <row r="51" spans="1:38" s="23" customFormat="1" ht="63.2" hidden="1" customHeight="1">
      <c r="A51" s="69"/>
      <c r="B51" s="26" t="s">
        <v>41</v>
      </c>
      <c r="C51" s="17" t="s">
        <v>17</v>
      </c>
      <c r="D51" s="17"/>
      <c r="E51" s="29"/>
      <c r="F51" s="29"/>
      <c r="G51" s="19"/>
      <c r="H51" s="21"/>
      <c r="I51" s="22"/>
      <c r="J51" s="22"/>
      <c r="K51" s="22"/>
      <c r="L51" s="27"/>
      <c r="M51" s="28"/>
      <c r="N51" s="22"/>
      <c r="O51" s="22"/>
      <c r="P51" s="20"/>
      <c r="Q51" s="22"/>
      <c r="R51" s="22"/>
      <c r="S51" s="22"/>
      <c r="T51" s="29"/>
      <c r="U51" s="19"/>
      <c r="V51" s="19"/>
      <c r="W51" s="19"/>
      <c r="X51" s="19"/>
      <c r="Y51" s="19"/>
      <c r="Z51" s="19"/>
      <c r="AA51" s="20"/>
      <c r="AB51" s="19"/>
      <c r="AC51" s="19"/>
      <c r="AD51" s="19"/>
      <c r="AE51" s="19"/>
      <c r="AF51" s="19"/>
      <c r="AG51" s="19"/>
      <c r="AH51" s="75"/>
      <c r="AI51" s="19"/>
      <c r="AJ51" s="100"/>
      <c r="AK51" s="8"/>
      <c r="AL51" s="8"/>
    </row>
    <row r="52" spans="1:38" s="23" customFormat="1" ht="63.2" hidden="1" customHeight="1" thickBot="1">
      <c r="A52" s="69">
        <v>23</v>
      </c>
      <c r="B52" s="26" t="s">
        <v>42</v>
      </c>
      <c r="C52" s="17" t="s">
        <v>17</v>
      </c>
      <c r="D52" s="17"/>
      <c r="E52" s="29"/>
      <c r="F52" s="29"/>
      <c r="G52" s="19"/>
      <c r="H52" s="21"/>
      <c r="I52" s="22"/>
      <c r="J52" s="22"/>
      <c r="K52" s="22"/>
      <c r="L52" s="27"/>
      <c r="M52" s="28"/>
      <c r="N52" s="22"/>
      <c r="O52" s="22"/>
      <c r="P52" s="20"/>
      <c r="Q52" s="22"/>
      <c r="R52" s="22"/>
      <c r="S52" s="22"/>
      <c r="T52" s="29"/>
      <c r="U52" s="19"/>
      <c r="V52" s="19"/>
      <c r="W52" s="19"/>
      <c r="X52" s="19"/>
      <c r="Y52" s="19"/>
      <c r="Z52" s="19"/>
      <c r="AA52" s="20"/>
      <c r="AB52" s="19"/>
      <c r="AC52" s="19"/>
      <c r="AD52" s="19"/>
      <c r="AE52" s="19"/>
      <c r="AF52" s="19"/>
      <c r="AG52" s="19"/>
      <c r="AH52" s="75"/>
      <c r="AI52" s="19"/>
      <c r="AJ52" s="100"/>
      <c r="AK52" s="8"/>
      <c r="AL52" s="8"/>
    </row>
    <row r="53" spans="1:38" s="23" customFormat="1" ht="63.2" customHeight="1">
      <c r="A53" s="69">
        <v>11</v>
      </c>
      <c r="B53" s="26" t="s">
        <v>156</v>
      </c>
      <c r="C53" s="17" t="s">
        <v>17</v>
      </c>
      <c r="D53" s="17"/>
      <c r="E53" s="29">
        <f>14-6.85</f>
        <v>7.15</v>
      </c>
      <c r="F53" s="29"/>
      <c r="G53" s="19">
        <f>(167012.5*1.2)*1.073</f>
        <v>215045.29499999998</v>
      </c>
      <c r="H53" s="21"/>
      <c r="I53" s="22"/>
      <c r="J53" s="22"/>
      <c r="K53" s="22"/>
      <c r="L53" s="27"/>
      <c r="M53" s="28"/>
      <c r="N53" s="22"/>
      <c r="O53" s="22"/>
      <c r="P53" s="20"/>
      <c r="Q53" s="22"/>
      <c r="R53" s="22"/>
      <c r="S53" s="22"/>
      <c r="T53" s="29"/>
      <c r="U53" s="19"/>
      <c r="V53" s="19"/>
      <c r="W53" s="19"/>
      <c r="X53" s="19"/>
      <c r="Y53" s="19"/>
      <c r="Z53" s="20">
        <f>E53</f>
        <v>7.15</v>
      </c>
      <c r="AA53" s="20"/>
      <c r="AB53" s="19">
        <f>G53</f>
        <v>215045.29499999998</v>
      </c>
      <c r="AC53" s="19">
        <f t="shared" ref="AC53" si="14">AB53*0.96</f>
        <v>206443.48319999999</v>
      </c>
      <c r="AD53" s="19">
        <f t="shared" ref="AD53" si="15">AB53-AC53</f>
        <v>8601.8117999999959</v>
      </c>
      <c r="AE53" s="19"/>
      <c r="AF53" s="19"/>
      <c r="AG53" s="19"/>
      <c r="AH53" s="75"/>
      <c r="AI53" s="19"/>
      <c r="AJ53" s="100"/>
      <c r="AK53" s="8"/>
      <c r="AL53" s="8"/>
    </row>
    <row r="54" spans="1:38" s="23" customFormat="1" ht="32.25" customHeight="1">
      <c r="A54" s="157" t="s">
        <v>111</v>
      </c>
      <c r="B54" s="158"/>
      <c r="C54" s="17"/>
      <c r="D54" s="17"/>
      <c r="E54" s="13">
        <f>SUM(E49:E53)</f>
        <v>10.75</v>
      </c>
      <c r="F54" s="13"/>
      <c r="G54" s="119">
        <f>SUM(G49:G53)</f>
        <v>304510.92193999997</v>
      </c>
      <c r="H54" s="13" t="e">
        <f>SUM(#REF!)</f>
        <v>#REF!</v>
      </c>
      <c r="I54" s="14" t="e">
        <f>SUM(#REF!)</f>
        <v>#REF!</v>
      </c>
      <c r="J54" s="14" t="e">
        <f>SUM(#REF!)</f>
        <v>#REF!</v>
      </c>
      <c r="K54" s="14"/>
      <c r="L54" s="13" t="e">
        <f>SUM(#REF!)</f>
        <v>#REF!</v>
      </c>
      <c r="M54" s="14" t="e">
        <f>SUM(#REF!)</f>
        <v>#REF!</v>
      </c>
      <c r="N54" s="14" t="e">
        <f>SUM(#REF!)</f>
        <v>#REF!</v>
      </c>
      <c r="O54" s="14" t="e">
        <f>SUM(#REF!)</f>
        <v>#REF!</v>
      </c>
      <c r="P54" s="13">
        <f>SUM(P48:P50)</f>
        <v>0</v>
      </c>
      <c r="Q54" s="14">
        <f>SUM(Q48:Q50)</f>
        <v>0</v>
      </c>
      <c r="R54" s="14">
        <f>SUM(R48:R50)</f>
        <v>0</v>
      </c>
      <c r="S54" s="14">
        <f>SUM(S48:S50)</f>
        <v>0</v>
      </c>
      <c r="T54" s="13">
        <f>SUM(T48:T50)</f>
        <v>3.6</v>
      </c>
      <c r="U54" s="119"/>
      <c r="V54" s="119">
        <f>SUM(V48:V50)</f>
        <v>89465.626940000002</v>
      </c>
      <c r="W54" s="119"/>
      <c r="X54" s="119">
        <f>SUM(X48:X50)</f>
        <v>89465.626940000002</v>
      </c>
      <c r="Y54" s="119"/>
      <c r="Z54" s="13">
        <f>SUM(Z49:Z53)</f>
        <v>7.15</v>
      </c>
      <c r="AA54" s="13"/>
      <c r="AB54" s="119">
        <f>SUM(AB49:AB53)</f>
        <v>215045.29499999998</v>
      </c>
      <c r="AC54" s="119">
        <f t="shared" ref="AC54:AD54" si="16">SUM(AC49:AC53)</f>
        <v>206443.48319999999</v>
      </c>
      <c r="AD54" s="119">
        <f t="shared" si="16"/>
        <v>8601.8117999999959</v>
      </c>
      <c r="AE54" s="119"/>
      <c r="AF54" s="119"/>
      <c r="AG54" s="119"/>
      <c r="AH54" s="74"/>
      <c r="AI54" s="119"/>
      <c r="AJ54" s="99"/>
      <c r="AK54" s="8"/>
      <c r="AL54" s="8"/>
    </row>
    <row r="55" spans="1:38" s="23" customFormat="1" ht="29.25" hidden="1" customHeight="1">
      <c r="A55" s="159" t="s">
        <v>27</v>
      </c>
      <c r="B55" s="146"/>
      <c r="C55" s="146"/>
      <c r="D55" s="146"/>
      <c r="E55" s="146"/>
      <c r="F55" s="115"/>
      <c r="G55" s="119"/>
      <c r="H55" s="17"/>
      <c r="I55" s="17"/>
      <c r="J55" s="17"/>
      <c r="K55" s="17"/>
      <c r="L55" s="17"/>
      <c r="M55" s="17"/>
      <c r="N55" s="17"/>
      <c r="O55" s="17"/>
      <c r="P55" s="17"/>
      <c r="Q55" s="22"/>
      <c r="R55" s="17"/>
      <c r="S55" s="17"/>
      <c r="T55" s="17"/>
      <c r="U55" s="19"/>
      <c r="V55" s="19"/>
      <c r="W55" s="19"/>
      <c r="X55" s="19"/>
      <c r="Y55" s="19"/>
      <c r="Z55" s="19"/>
      <c r="AA55" s="17"/>
      <c r="AB55" s="19"/>
      <c r="AC55" s="19"/>
      <c r="AD55" s="19"/>
      <c r="AE55" s="19"/>
      <c r="AF55" s="19"/>
      <c r="AG55" s="19"/>
      <c r="AH55" s="75"/>
      <c r="AI55" s="19"/>
      <c r="AJ55" s="100"/>
      <c r="AK55" s="8"/>
      <c r="AL55" s="8"/>
    </row>
    <row r="56" spans="1:38" s="23" customFormat="1" ht="48" hidden="1" customHeight="1">
      <c r="A56" s="70"/>
      <c r="B56" s="26" t="s">
        <v>43</v>
      </c>
      <c r="C56" s="17" t="s">
        <v>17</v>
      </c>
      <c r="D56" s="17"/>
      <c r="E56" s="29"/>
      <c r="F56" s="29"/>
      <c r="G56" s="19"/>
      <c r="H56" s="21"/>
      <c r="I56" s="22"/>
      <c r="J56" s="22"/>
      <c r="K56" s="22"/>
      <c r="L56" s="27"/>
      <c r="M56" s="28"/>
      <c r="N56" s="22"/>
      <c r="O56" s="22"/>
      <c r="P56" s="27"/>
      <c r="Q56" s="28"/>
      <c r="R56" s="22"/>
      <c r="S56" s="22"/>
      <c r="T56" s="20"/>
      <c r="U56" s="19"/>
      <c r="V56" s="19"/>
      <c r="W56" s="19"/>
      <c r="X56" s="19"/>
      <c r="Y56" s="19"/>
      <c r="Z56" s="19"/>
      <c r="AA56" s="20"/>
      <c r="AB56" s="24"/>
      <c r="AC56" s="24"/>
      <c r="AD56" s="24"/>
      <c r="AE56" s="24"/>
      <c r="AF56" s="24"/>
      <c r="AG56" s="19"/>
      <c r="AH56" s="75"/>
      <c r="AI56" s="19"/>
      <c r="AJ56" s="100"/>
      <c r="AK56" s="8"/>
      <c r="AL56" s="8"/>
    </row>
    <row r="57" spans="1:38" s="23" customFormat="1" ht="55.5" hidden="1" customHeight="1" thickBot="1">
      <c r="A57" s="69"/>
      <c r="B57" s="26"/>
      <c r="C57" s="17"/>
      <c r="D57" s="17"/>
      <c r="E57" s="29"/>
      <c r="F57" s="21"/>
      <c r="G57" s="19"/>
      <c r="H57" s="21"/>
      <c r="I57" s="22"/>
      <c r="J57" s="22"/>
      <c r="K57" s="22"/>
      <c r="L57" s="27"/>
      <c r="M57" s="28"/>
      <c r="N57" s="22"/>
      <c r="O57" s="22"/>
      <c r="P57" s="27"/>
      <c r="Q57" s="28"/>
      <c r="R57" s="22"/>
      <c r="S57" s="22"/>
      <c r="T57" s="29"/>
      <c r="U57" s="19"/>
      <c r="V57" s="19"/>
      <c r="W57" s="19"/>
      <c r="X57" s="19"/>
      <c r="Y57" s="19"/>
      <c r="Z57" s="21"/>
      <c r="AA57" s="20"/>
      <c r="AB57" s="19"/>
      <c r="AC57" s="19"/>
      <c r="AD57" s="19"/>
      <c r="AE57" s="19"/>
      <c r="AF57" s="19"/>
      <c r="AG57" s="19"/>
      <c r="AH57" s="75"/>
      <c r="AI57" s="19"/>
      <c r="AJ57" s="100"/>
      <c r="AK57" s="8"/>
      <c r="AL57" s="8"/>
    </row>
    <row r="58" spans="1:38" s="23" customFormat="1" ht="32.25" hidden="1" customHeight="1" thickBot="1">
      <c r="A58" s="157" t="s">
        <v>112</v>
      </c>
      <c r="B58" s="158"/>
      <c r="C58" s="158"/>
      <c r="D58" s="117"/>
      <c r="E58" s="13">
        <f>SUM(E57:E57)</f>
        <v>0</v>
      </c>
      <c r="F58" s="13"/>
      <c r="G58" s="119">
        <f>SUM(G57:G57)</f>
        <v>0</v>
      </c>
      <c r="H58" s="13" t="e">
        <f>SUM(#REF!)</f>
        <v>#REF!</v>
      </c>
      <c r="I58" s="14" t="e">
        <f>SUM(#REF!)</f>
        <v>#REF!</v>
      </c>
      <c r="J58" s="14" t="e">
        <f>SUM(#REF!)</f>
        <v>#REF!</v>
      </c>
      <c r="K58" s="14"/>
      <c r="L58" s="13" t="e">
        <f>SUM(#REF!)</f>
        <v>#REF!</v>
      </c>
      <c r="M58" s="14" t="e">
        <f>SUM(#REF!)</f>
        <v>#REF!</v>
      </c>
      <c r="N58" s="14" t="e">
        <f>SUM(#REF!)</f>
        <v>#REF!</v>
      </c>
      <c r="O58" s="14" t="e">
        <f>SUM(#REF!)</f>
        <v>#REF!</v>
      </c>
      <c r="P58" s="13">
        <f>SUM(P56:P56)</f>
        <v>0</v>
      </c>
      <c r="Q58" s="14">
        <f>SUM(Q56:Q56)</f>
        <v>0</v>
      </c>
      <c r="R58" s="14">
        <f>SUM(R56:R56)</f>
        <v>0</v>
      </c>
      <c r="S58" s="14">
        <f>SUM(S56:S56)</f>
        <v>0</v>
      </c>
      <c r="T58" s="13">
        <f>SUM(T56:T56)</f>
        <v>0</v>
      </c>
      <c r="U58" s="13"/>
      <c r="V58" s="119">
        <f>SUM(V56:V56)</f>
        <v>0</v>
      </c>
      <c r="W58" s="119">
        <f>SUM(W56:W56)</f>
        <v>0</v>
      </c>
      <c r="X58" s="119">
        <f>SUM(X56:X56)</f>
        <v>0</v>
      </c>
      <c r="Y58" s="119"/>
      <c r="Z58" s="13"/>
      <c r="AA58" s="13"/>
      <c r="AB58" s="119"/>
      <c r="AC58" s="119"/>
      <c r="AD58" s="119"/>
      <c r="AE58" s="119"/>
      <c r="AF58" s="119"/>
      <c r="AG58" s="119"/>
      <c r="AH58" s="74"/>
      <c r="AI58" s="119"/>
      <c r="AJ58" s="99"/>
      <c r="AK58" s="8"/>
      <c r="AL58" s="8"/>
    </row>
    <row r="59" spans="1:38" s="23" customFormat="1" ht="27.2" customHeight="1">
      <c r="A59" s="159" t="s">
        <v>28</v>
      </c>
      <c r="B59" s="146"/>
      <c r="C59" s="146"/>
      <c r="D59" s="146"/>
      <c r="E59" s="146"/>
      <c r="F59" s="115"/>
      <c r="G59" s="119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9"/>
      <c r="V59" s="19"/>
      <c r="W59" s="19"/>
      <c r="X59" s="19"/>
      <c r="Y59" s="19"/>
      <c r="Z59" s="19"/>
      <c r="AA59" s="17"/>
      <c r="AB59" s="19"/>
      <c r="AC59" s="19"/>
      <c r="AD59" s="19"/>
      <c r="AE59" s="19"/>
      <c r="AF59" s="19"/>
      <c r="AG59" s="19"/>
      <c r="AH59" s="75"/>
      <c r="AI59" s="19"/>
      <c r="AJ59" s="100"/>
      <c r="AK59" s="8"/>
      <c r="AL59" s="8"/>
    </row>
    <row r="60" spans="1:38" s="23" customFormat="1" ht="34.5" customHeight="1">
      <c r="A60" s="69">
        <v>12</v>
      </c>
      <c r="B60" s="26" t="s">
        <v>143</v>
      </c>
      <c r="C60" s="115"/>
      <c r="D60" s="115"/>
      <c r="E60" s="29">
        <v>3.9</v>
      </c>
      <c r="F60" s="21"/>
      <c r="G60" s="19">
        <f>(90264.09*1.2)*1.073</f>
        <v>116224.042284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9"/>
      <c r="V60" s="19"/>
      <c r="W60" s="19"/>
      <c r="X60" s="19"/>
      <c r="Y60" s="19"/>
      <c r="Z60" s="20">
        <f>E60</f>
        <v>3.9</v>
      </c>
      <c r="AA60" s="17"/>
      <c r="AB60" s="19">
        <f>G60</f>
        <v>116224.042284</v>
      </c>
      <c r="AC60" s="19">
        <f t="shared" ref="AC60" si="17">AB60*0.96</f>
        <v>111575.08059263999</v>
      </c>
      <c r="AD60" s="19">
        <f t="shared" ref="AD60" si="18">AB60-AC60</f>
        <v>4648.9616913600039</v>
      </c>
      <c r="AE60" s="19"/>
      <c r="AF60" s="19"/>
      <c r="AG60" s="19"/>
      <c r="AH60" s="75"/>
      <c r="AI60" s="19"/>
      <c r="AJ60" s="100"/>
      <c r="AK60" s="8"/>
      <c r="AL60" s="8"/>
    </row>
    <row r="61" spans="1:38" s="23" customFormat="1" ht="27" customHeight="1">
      <c r="A61" s="69"/>
      <c r="B61" s="16" t="s">
        <v>57</v>
      </c>
      <c r="C61" s="17"/>
      <c r="D61" s="17"/>
      <c r="E61" s="56">
        <f>T61+Z61</f>
        <v>6.2750000000000004</v>
      </c>
      <c r="F61" s="56"/>
      <c r="G61" s="19">
        <f>V61+AB61</f>
        <v>274941</v>
      </c>
      <c r="H61" s="21"/>
      <c r="I61" s="22"/>
      <c r="J61" s="22"/>
      <c r="K61" s="22"/>
      <c r="L61" s="27"/>
      <c r="M61" s="28"/>
      <c r="N61" s="22"/>
      <c r="O61" s="22"/>
      <c r="P61" s="20"/>
      <c r="Q61" s="22"/>
      <c r="R61" s="22"/>
      <c r="S61" s="22"/>
      <c r="T61" s="20">
        <v>4.45</v>
      </c>
      <c r="U61" s="19"/>
      <c r="V61" s="19">
        <v>186480</v>
      </c>
      <c r="W61" s="19"/>
      <c r="X61" s="19">
        <f>V61</f>
        <v>186480</v>
      </c>
      <c r="Y61" s="19"/>
      <c r="Z61" s="20">
        <v>1.825</v>
      </c>
      <c r="AA61" s="17"/>
      <c r="AB61" s="19">
        <v>88461</v>
      </c>
      <c r="AC61" s="19"/>
      <c r="AD61" s="19">
        <f>AB61</f>
        <v>88461</v>
      </c>
      <c r="AE61" s="19"/>
      <c r="AF61" s="19"/>
      <c r="AG61" s="19"/>
      <c r="AH61" s="75"/>
      <c r="AI61" s="19"/>
      <c r="AJ61" s="100"/>
      <c r="AK61" s="8"/>
      <c r="AL61" s="8"/>
    </row>
    <row r="62" spans="1:38" s="23" customFormat="1" ht="30.75" customHeight="1">
      <c r="A62" s="159" t="s">
        <v>113</v>
      </c>
      <c r="B62" s="146"/>
      <c r="C62" s="17"/>
      <c r="D62" s="17"/>
      <c r="E62" s="13">
        <f>SUM(E60:E61)</f>
        <v>10.175000000000001</v>
      </c>
      <c r="F62" s="13"/>
      <c r="G62" s="119">
        <f>SUM(G60:G61)</f>
        <v>391165.04228399997</v>
      </c>
      <c r="H62" s="13" t="e">
        <f>SUM(#REF!)</f>
        <v>#REF!</v>
      </c>
      <c r="I62" s="14" t="e">
        <f>SUM(#REF!)</f>
        <v>#REF!</v>
      </c>
      <c r="J62" s="14" t="e">
        <f>SUM(#REF!)</f>
        <v>#REF!</v>
      </c>
      <c r="K62" s="14"/>
      <c r="L62" s="13" t="e">
        <f>SUM(#REF!)</f>
        <v>#REF!</v>
      </c>
      <c r="M62" s="14" t="e">
        <f>SUM(#REF!)</f>
        <v>#REF!</v>
      </c>
      <c r="N62" s="14" t="e">
        <f>SUM(#REF!)</f>
        <v>#REF!</v>
      </c>
      <c r="O62" s="14" t="e">
        <f>SUM(#REF!)</f>
        <v>#REF!</v>
      </c>
      <c r="P62" s="13" t="e">
        <f>SUM(#REF!)</f>
        <v>#REF!</v>
      </c>
      <c r="Q62" s="14" t="e">
        <f>SUM(#REF!)</f>
        <v>#REF!</v>
      </c>
      <c r="R62" s="14" t="e">
        <f>SUM(#REF!)</f>
        <v>#REF!</v>
      </c>
      <c r="S62" s="14"/>
      <c r="T62" s="13">
        <f>SUM(T61:T61)</f>
        <v>4.45</v>
      </c>
      <c r="U62" s="119"/>
      <c r="V62" s="119">
        <f>SUM(V61:V61)</f>
        <v>186480</v>
      </c>
      <c r="W62" s="119"/>
      <c r="X62" s="119">
        <f>SUM(X61:X61)</f>
        <v>186480</v>
      </c>
      <c r="Y62" s="119"/>
      <c r="Z62" s="13">
        <f>SUM(Z60:Z61)</f>
        <v>5.7249999999999996</v>
      </c>
      <c r="AA62" s="119"/>
      <c r="AB62" s="119">
        <f>SUM(AB60:AB61)</f>
        <v>204685.042284</v>
      </c>
      <c r="AC62" s="119">
        <f>SUM(AC60:AC61)</f>
        <v>111575.08059263999</v>
      </c>
      <c r="AD62" s="119">
        <f>SUM(AD60:AD61)</f>
        <v>93109.961691360004</v>
      </c>
      <c r="AE62" s="119"/>
      <c r="AF62" s="119"/>
      <c r="AG62" s="119"/>
      <c r="AH62" s="74"/>
      <c r="AI62" s="119"/>
      <c r="AJ62" s="99"/>
      <c r="AK62" s="8"/>
      <c r="AL62" s="8"/>
    </row>
    <row r="63" spans="1:38" s="23" customFormat="1" ht="33.75" customHeight="1">
      <c r="A63" s="159" t="s">
        <v>44</v>
      </c>
      <c r="B63" s="146"/>
      <c r="C63" s="146"/>
      <c r="D63" s="146"/>
      <c r="E63" s="146"/>
      <c r="F63" s="115"/>
      <c r="G63" s="119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9"/>
      <c r="V63" s="19"/>
      <c r="W63" s="19"/>
      <c r="X63" s="19"/>
      <c r="Y63" s="19"/>
      <c r="Z63" s="19"/>
      <c r="AA63" s="17"/>
      <c r="AB63" s="19"/>
      <c r="AC63" s="19"/>
      <c r="AD63" s="19"/>
      <c r="AE63" s="19"/>
      <c r="AF63" s="19"/>
      <c r="AG63" s="19"/>
      <c r="AH63" s="75"/>
      <c r="AI63" s="19"/>
      <c r="AJ63" s="100"/>
      <c r="AK63" s="8"/>
      <c r="AL63" s="8"/>
    </row>
    <row r="64" spans="1:38" s="23" customFormat="1" ht="43.5" customHeight="1">
      <c r="A64" s="69">
        <v>13</v>
      </c>
      <c r="B64" s="26" t="s">
        <v>61</v>
      </c>
      <c r="C64" s="17" t="s">
        <v>17</v>
      </c>
      <c r="D64" s="17"/>
      <c r="E64" s="29">
        <v>2.2999999999999998</v>
      </c>
      <c r="F64" s="29"/>
      <c r="G64" s="19">
        <f>57344.55685+1846.72585</f>
        <v>59191.282700000003</v>
      </c>
      <c r="H64" s="21"/>
      <c r="I64" s="22"/>
      <c r="J64" s="22"/>
      <c r="K64" s="22"/>
      <c r="L64" s="27"/>
      <c r="M64" s="28"/>
      <c r="N64" s="22"/>
      <c r="O64" s="22"/>
      <c r="P64" s="20"/>
      <c r="Q64" s="22"/>
      <c r="R64" s="22"/>
      <c r="S64" s="22"/>
      <c r="T64" s="20">
        <f>E64</f>
        <v>2.2999999999999998</v>
      </c>
      <c r="U64" s="19"/>
      <c r="V64" s="19">
        <f>G64</f>
        <v>59191.282700000003</v>
      </c>
      <c r="W64" s="19"/>
      <c r="X64" s="19">
        <f>V64</f>
        <v>59191.282700000003</v>
      </c>
      <c r="Y64" s="19"/>
      <c r="Z64" s="29"/>
      <c r="AA64" s="20"/>
      <c r="AB64" s="19"/>
      <c r="AC64" s="19"/>
      <c r="AD64" s="19"/>
      <c r="AE64" s="19"/>
      <c r="AF64" s="19"/>
      <c r="AG64" s="19"/>
      <c r="AH64" s="75"/>
      <c r="AI64" s="19"/>
      <c r="AJ64" s="100"/>
      <c r="AK64" s="8"/>
      <c r="AL64" s="8"/>
    </row>
    <row r="65" spans="1:38" s="23" customFormat="1" ht="46.5" customHeight="1">
      <c r="A65" s="69">
        <v>14</v>
      </c>
      <c r="B65" s="26" t="s">
        <v>157</v>
      </c>
      <c r="C65" s="17" t="s">
        <v>17</v>
      </c>
      <c r="D65" s="17"/>
      <c r="E65" s="29">
        <v>3.07</v>
      </c>
      <c r="F65" s="29"/>
      <c r="G65" s="19">
        <f>59936.71*1.2*1.073</f>
        <v>77174.507795999991</v>
      </c>
      <c r="H65" s="21"/>
      <c r="I65" s="22"/>
      <c r="J65" s="22"/>
      <c r="K65" s="22"/>
      <c r="L65" s="27"/>
      <c r="M65" s="28"/>
      <c r="N65" s="22"/>
      <c r="O65" s="22"/>
      <c r="P65" s="20"/>
      <c r="Q65" s="22"/>
      <c r="R65" s="22"/>
      <c r="S65" s="22"/>
      <c r="T65" s="20"/>
      <c r="U65" s="19"/>
      <c r="V65" s="19"/>
      <c r="W65" s="19"/>
      <c r="X65" s="19"/>
      <c r="Y65" s="19"/>
      <c r="Z65" s="20">
        <f>E65</f>
        <v>3.07</v>
      </c>
      <c r="AA65" s="20"/>
      <c r="AB65" s="19">
        <f>G65</f>
        <v>77174.507795999991</v>
      </c>
      <c r="AC65" s="71">
        <f t="shared" ref="AC65" si="19">AB65*0.96</f>
        <v>74087.527484159989</v>
      </c>
      <c r="AD65" s="19">
        <f t="shared" ref="AD65" si="20">AB65-AC65</f>
        <v>3086.9803118400014</v>
      </c>
      <c r="AE65" s="19"/>
      <c r="AF65" s="19"/>
      <c r="AG65" s="19"/>
      <c r="AH65" s="75"/>
      <c r="AI65" s="19"/>
      <c r="AJ65" s="100"/>
      <c r="AK65" s="8"/>
      <c r="AL65" s="8"/>
    </row>
    <row r="66" spans="1:38" s="23" customFormat="1" ht="27.75" customHeight="1">
      <c r="A66" s="157" t="s">
        <v>115</v>
      </c>
      <c r="B66" s="158"/>
      <c r="C66" s="17"/>
      <c r="D66" s="17"/>
      <c r="E66" s="13">
        <f>SUM(E64:E65)</f>
        <v>5.3699999999999992</v>
      </c>
      <c r="F66" s="13"/>
      <c r="G66" s="119">
        <f>SUM(G64:G65)</f>
        <v>136365.790496</v>
      </c>
      <c r="H66" s="13" t="e">
        <f>SUM(#REF!)</f>
        <v>#REF!</v>
      </c>
      <c r="I66" s="14" t="e">
        <f>SUM(#REF!)</f>
        <v>#REF!</v>
      </c>
      <c r="J66" s="14" t="e">
        <f>SUM(#REF!)</f>
        <v>#REF!</v>
      </c>
      <c r="K66" s="14"/>
      <c r="L66" s="13" t="e">
        <f>SUM(#REF!)</f>
        <v>#REF!</v>
      </c>
      <c r="M66" s="14" t="e">
        <f>SUM(#REF!)</f>
        <v>#REF!</v>
      </c>
      <c r="N66" s="14" t="e">
        <f>SUM(#REF!)</f>
        <v>#REF!</v>
      </c>
      <c r="O66" s="14" t="e">
        <f>SUM(#REF!)</f>
        <v>#REF!</v>
      </c>
      <c r="P66" s="13" t="e">
        <f>SUM(#REF!)</f>
        <v>#REF!</v>
      </c>
      <c r="Q66" s="14" t="e">
        <f>SUM(#REF!)</f>
        <v>#REF!</v>
      </c>
      <c r="R66" s="14" t="e">
        <f>SUM(#REF!)</f>
        <v>#REF!</v>
      </c>
      <c r="S66" s="14"/>
      <c r="T66" s="13">
        <f>SUM(T64:T65)</f>
        <v>2.2999999999999998</v>
      </c>
      <c r="U66" s="13"/>
      <c r="V66" s="119">
        <f>SUM(V64:V65)</f>
        <v>59191.282700000003</v>
      </c>
      <c r="W66" s="119"/>
      <c r="X66" s="119">
        <f>SUM(X64:X65)</f>
        <v>59191.282700000003</v>
      </c>
      <c r="Y66" s="119"/>
      <c r="Z66" s="13">
        <f>SUM(Z64:Z65)</f>
        <v>3.07</v>
      </c>
      <c r="AA66" s="13"/>
      <c r="AB66" s="119">
        <f>SUM(AB64:AB65)</f>
        <v>77174.507795999991</v>
      </c>
      <c r="AC66" s="119">
        <f>SUM(AC64:AC65)</f>
        <v>74087.527484159989</v>
      </c>
      <c r="AD66" s="119">
        <f>SUM(AD64:AD65)</f>
        <v>3086.9803118400014</v>
      </c>
      <c r="AE66" s="119"/>
      <c r="AF66" s="119"/>
      <c r="AG66" s="119"/>
      <c r="AH66" s="74"/>
      <c r="AI66" s="119"/>
      <c r="AJ66" s="99"/>
      <c r="AK66" s="8"/>
      <c r="AL66" s="8"/>
    </row>
    <row r="67" spans="1:38" s="23" customFormat="1" ht="29.25" customHeight="1">
      <c r="A67" s="159" t="s">
        <v>30</v>
      </c>
      <c r="B67" s="146"/>
      <c r="C67" s="146"/>
      <c r="D67" s="146"/>
      <c r="E67" s="146"/>
      <c r="F67" s="115"/>
      <c r="G67" s="119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9"/>
      <c r="V67" s="19"/>
      <c r="W67" s="19"/>
      <c r="X67" s="19"/>
      <c r="Y67" s="19"/>
      <c r="Z67" s="19"/>
      <c r="AA67" s="17"/>
      <c r="AB67" s="19"/>
      <c r="AC67" s="19"/>
      <c r="AD67" s="19"/>
      <c r="AE67" s="19"/>
      <c r="AF67" s="19"/>
      <c r="AG67" s="19"/>
      <c r="AH67" s="75"/>
      <c r="AI67" s="19"/>
      <c r="AJ67" s="100"/>
      <c r="AK67" s="8"/>
      <c r="AL67" s="8"/>
    </row>
    <row r="68" spans="1:38" s="23" customFormat="1" ht="44.25" customHeight="1">
      <c r="A68" s="69">
        <v>15</v>
      </c>
      <c r="B68" s="26" t="s">
        <v>144</v>
      </c>
      <c r="C68" s="17"/>
      <c r="D68" s="17"/>
      <c r="E68" s="29">
        <v>4.0999999999999996</v>
      </c>
      <c r="F68" s="29"/>
      <c r="G68" s="19">
        <v>128306.87396</v>
      </c>
      <c r="H68" s="21"/>
      <c r="I68" s="22"/>
      <c r="J68" s="22"/>
      <c r="K68" s="22"/>
      <c r="L68" s="27"/>
      <c r="M68" s="28"/>
      <c r="N68" s="22"/>
      <c r="O68" s="22"/>
      <c r="P68" s="27"/>
      <c r="Q68" s="28"/>
      <c r="R68" s="22"/>
      <c r="S68" s="22"/>
      <c r="T68" s="20"/>
      <c r="U68" s="19"/>
      <c r="V68" s="19"/>
      <c r="W68" s="19"/>
      <c r="X68" s="19"/>
      <c r="Y68" s="19"/>
      <c r="Z68" s="20">
        <v>4.0999999999999996</v>
      </c>
      <c r="AA68" s="20"/>
      <c r="AB68" s="71">
        <f>G68</f>
        <v>128306.87396</v>
      </c>
      <c r="AC68" s="71">
        <f t="shared" ref="AC68" si="21">AB68*0.96</f>
        <v>123174.5990016</v>
      </c>
      <c r="AD68" s="19">
        <f t="shared" ref="AD68" si="22">AB68-AC68</f>
        <v>5132.2749583999976</v>
      </c>
      <c r="AE68" s="19"/>
      <c r="AF68" s="19"/>
      <c r="AG68" s="19"/>
      <c r="AH68" s="75"/>
      <c r="AI68" s="19"/>
      <c r="AJ68" s="100"/>
      <c r="AK68" s="8"/>
      <c r="AL68" s="8"/>
    </row>
    <row r="69" spans="1:38" s="23" customFormat="1" ht="29.25" customHeight="1">
      <c r="A69" s="69"/>
      <c r="B69" s="16" t="s">
        <v>59</v>
      </c>
      <c r="C69" s="17"/>
      <c r="D69" s="17"/>
      <c r="E69" s="29">
        <f>SUM(E68:E68)</f>
        <v>4.0999999999999996</v>
      </c>
      <c r="F69" s="29"/>
      <c r="G69" s="71">
        <f>SUM(G68:G68)</f>
        <v>128306.87396</v>
      </c>
      <c r="H69" s="21"/>
      <c r="I69" s="22"/>
      <c r="J69" s="22"/>
      <c r="K69" s="22"/>
      <c r="L69" s="27"/>
      <c r="M69" s="28"/>
      <c r="N69" s="22"/>
      <c r="O69" s="22"/>
      <c r="P69" s="27"/>
      <c r="Q69" s="28"/>
      <c r="R69" s="22"/>
      <c r="S69" s="22"/>
      <c r="T69" s="20"/>
      <c r="U69" s="19"/>
      <c r="V69" s="19"/>
      <c r="W69" s="19"/>
      <c r="X69" s="19"/>
      <c r="Y69" s="19"/>
      <c r="Z69" s="29">
        <f>SUM(Z68:Z68)</f>
        <v>4.0999999999999996</v>
      </c>
      <c r="AA69" s="29"/>
      <c r="AB69" s="71">
        <f>SUM(AB68:AB68)</f>
        <v>128306.87396</v>
      </c>
      <c r="AC69" s="71">
        <f>SUM(AC68:AC68)</f>
        <v>123174.5990016</v>
      </c>
      <c r="AD69" s="71">
        <f>SUM(AD68:AD68)</f>
        <v>5132.2749583999976</v>
      </c>
      <c r="AE69" s="19"/>
      <c r="AF69" s="19"/>
      <c r="AG69" s="19"/>
      <c r="AH69" s="75"/>
      <c r="AI69" s="19"/>
      <c r="AJ69" s="100"/>
      <c r="AK69" s="8"/>
      <c r="AL69" s="8"/>
    </row>
    <row r="70" spans="1:38" s="23" customFormat="1" ht="24" customHeight="1">
      <c r="A70" s="70"/>
      <c r="B70" s="16" t="s">
        <v>57</v>
      </c>
      <c r="C70" s="17"/>
      <c r="D70" s="17"/>
      <c r="E70" s="29">
        <f>T70+Z70</f>
        <v>14.581</v>
      </c>
      <c r="F70" s="29"/>
      <c r="G70" s="19">
        <f>V70+AB70</f>
        <v>290223.3</v>
      </c>
      <c r="H70" s="21"/>
      <c r="I70" s="22"/>
      <c r="J70" s="22"/>
      <c r="K70" s="22"/>
      <c r="L70" s="27"/>
      <c r="M70" s="28"/>
      <c r="N70" s="22"/>
      <c r="O70" s="22"/>
      <c r="P70" s="27"/>
      <c r="Q70" s="28"/>
      <c r="R70" s="22"/>
      <c r="S70" s="22"/>
      <c r="T70" s="20">
        <v>9.5760000000000005</v>
      </c>
      <c r="U70" s="19"/>
      <c r="V70" s="19">
        <v>196556</v>
      </c>
      <c r="W70" s="19"/>
      <c r="X70" s="19">
        <f>V70</f>
        <v>196556</v>
      </c>
      <c r="Y70" s="19"/>
      <c r="Z70" s="29">
        <v>5.0049999999999999</v>
      </c>
      <c r="AA70" s="29"/>
      <c r="AB70" s="71">
        <v>93667.3</v>
      </c>
      <c r="AC70" s="71"/>
      <c r="AD70" s="71">
        <f>AB70</f>
        <v>93667.3</v>
      </c>
      <c r="AE70" s="19"/>
      <c r="AF70" s="19"/>
      <c r="AG70" s="19"/>
      <c r="AH70" s="75"/>
      <c r="AI70" s="19"/>
      <c r="AJ70" s="100"/>
      <c r="AK70" s="8"/>
      <c r="AL70" s="8"/>
    </row>
    <row r="71" spans="1:38" s="23" customFormat="1" ht="33.75" customHeight="1">
      <c r="A71" s="157" t="s">
        <v>114</v>
      </c>
      <c r="B71" s="158"/>
      <c r="C71" s="17"/>
      <c r="D71" s="17"/>
      <c r="E71" s="119">
        <f>SUM(E69:E70)</f>
        <v>18.680999999999997</v>
      </c>
      <c r="F71" s="119"/>
      <c r="G71" s="119">
        <f>SUM(G69:G70)</f>
        <v>418530.17395999999</v>
      </c>
      <c r="H71" s="13"/>
      <c r="I71" s="14"/>
      <c r="J71" s="14"/>
      <c r="K71" s="14"/>
      <c r="L71" s="13"/>
      <c r="M71" s="14"/>
      <c r="N71" s="14"/>
      <c r="O71" s="14"/>
      <c r="P71" s="119"/>
      <c r="Q71" s="14"/>
      <c r="R71" s="14"/>
      <c r="S71" s="14"/>
      <c r="T71" s="119">
        <f>SUM(T69:T70)</f>
        <v>9.5760000000000005</v>
      </c>
      <c r="U71" s="119"/>
      <c r="V71" s="119">
        <f>SUM(V69:V70)</f>
        <v>196556</v>
      </c>
      <c r="W71" s="119"/>
      <c r="X71" s="119">
        <f>SUM(X69:X70)</f>
        <v>196556</v>
      </c>
      <c r="Y71" s="119"/>
      <c r="Z71" s="119">
        <f>SUM(Z69:Z70)</f>
        <v>9.1050000000000004</v>
      </c>
      <c r="AA71" s="119"/>
      <c r="AB71" s="119">
        <f>SUM(AB69:AB70)</f>
        <v>221974.17395999999</v>
      </c>
      <c r="AC71" s="119">
        <f t="shared" ref="AC71:AD71" si="23">SUM(AC69:AC70)</f>
        <v>123174.5990016</v>
      </c>
      <c r="AD71" s="119">
        <f t="shared" si="23"/>
        <v>98799.5749584</v>
      </c>
      <c r="AE71" s="119"/>
      <c r="AF71" s="119"/>
      <c r="AG71" s="119"/>
      <c r="AH71" s="74"/>
      <c r="AI71" s="119"/>
      <c r="AJ71" s="99"/>
      <c r="AK71" s="8"/>
      <c r="AL71" s="8"/>
    </row>
    <row r="72" spans="1:38" s="23" customFormat="1" ht="32.25" customHeight="1">
      <c r="A72" s="159" t="s">
        <v>45</v>
      </c>
      <c r="B72" s="146"/>
      <c r="C72" s="146"/>
      <c r="D72" s="146"/>
      <c r="E72" s="146"/>
      <c r="F72" s="115"/>
      <c r="G72" s="119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9"/>
      <c r="V72" s="19"/>
      <c r="W72" s="19"/>
      <c r="X72" s="19"/>
      <c r="Y72" s="19"/>
      <c r="Z72" s="19"/>
      <c r="AA72" s="17"/>
      <c r="AB72" s="19"/>
      <c r="AC72" s="19"/>
      <c r="AD72" s="19"/>
      <c r="AE72" s="19"/>
      <c r="AF72" s="19"/>
      <c r="AG72" s="19"/>
      <c r="AH72" s="75"/>
      <c r="AI72" s="19"/>
      <c r="AJ72" s="100"/>
      <c r="AK72" s="8"/>
      <c r="AL72" s="8"/>
    </row>
    <row r="73" spans="1:38" s="23" customFormat="1" ht="52.5" customHeight="1">
      <c r="A73" s="69">
        <v>16</v>
      </c>
      <c r="B73" s="30" t="s">
        <v>62</v>
      </c>
      <c r="C73" s="17" t="s">
        <v>17</v>
      </c>
      <c r="D73" s="115"/>
      <c r="E73" s="29">
        <v>3.9</v>
      </c>
      <c r="F73" s="115"/>
      <c r="G73" s="19">
        <v>76711.600330000001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29">
        <f>E73</f>
        <v>3.9</v>
      </c>
      <c r="U73" s="19"/>
      <c r="V73" s="19">
        <f>G73</f>
        <v>76711.600330000001</v>
      </c>
      <c r="W73" s="19"/>
      <c r="X73" s="19">
        <f>V73</f>
        <v>76711.600330000001</v>
      </c>
      <c r="Y73" s="19"/>
      <c r="Z73" s="19"/>
      <c r="AA73" s="17"/>
      <c r="AB73" s="19"/>
      <c r="AC73" s="19"/>
      <c r="AD73" s="19"/>
      <c r="AE73" s="19"/>
      <c r="AF73" s="19"/>
      <c r="AG73" s="19"/>
      <c r="AH73" s="75"/>
      <c r="AI73" s="19"/>
      <c r="AJ73" s="100"/>
      <c r="AK73" s="8"/>
      <c r="AL73" s="8"/>
    </row>
    <row r="74" spans="1:38" s="23" customFormat="1" ht="27" customHeight="1">
      <c r="A74" s="69">
        <v>17</v>
      </c>
      <c r="B74" s="30" t="s">
        <v>145</v>
      </c>
      <c r="C74" s="17"/>
      <c r="D74" s="115"/>
      <c r="E74" s="29">
        <v>4.2</v>
      </c>
      <c r="F74" s="115"/>
      <c r="G74" s="19">
        <f>(102645.7*1.2)*1.073</f>
        <v>132166.60331999999</v>
      </c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29"/>
      <c r="U74" s="19"/>
      <c r="V74" s="19"/>
      <c r="W74" s="19"/>
      <c r="X74" s="19"/>
      <c r="Y74" s="19"/>
      <c r="Z74" s="20">
        <v>4.2</v>
      </c>
      <c r="AA74" s="17"/>
      <c r="AB74" s="19">
        <f>G74</f>
        <v>132166.60331999999</v>
      </c>
      <c r="AC74" s="19">
        <f t="shared" ref="AC74" si="24">AB74*0.96</f>
        <v>126879.93918719998</v>
      </c>
      <c r="AD74" s="19">
        <f t="shared" ref="AD74" si="25">AB74-AC74</f>
        <v>5286.6641328000114</v>
      </c>
      <c r="AE74" s="19"/>
      <c r="AF74" s="19"/>
      <c r="AG74" s="19"/>
      <c r="AH74" s="75"/>
      <c r="AI74" s="19"/>
      <c r="AJ74" s="100"/>
      <c r="AK74" s="8"/>
      <c r="AL74" s="8"/>
    </row>
    <row r="75" spans="1:38" s="23" customFormat="1" ht="29.25" customHeight="1">
      <c r="A75" s="157" t="s">
        <v>116</v>
      </c>
      <c r="B75" s="158"/>
      <c r="C75" s="17"/>
      <c r="D75" s="17"/>
      <c r="E75" s="13">
        <f>SUM(E73:E74)</f>
        <v>8.1</v>
      </c>
      <c r="F75" s="13"/>
      <c r="G75" s="119">
        <f>SUM(G73:G74)</f>
        <v>208878.20364999998</v>
      </c>
      <c r="H75" s="13"/>
      <c r="I75" s="14"/>
      <c r="J75" s="14"/>
      <c r="K75" s="14"/>
      <c r="L75" s="13"/>
      <c r="M75" s="14"/>
      <c r="N75" s="14"/>
      <c r="O75" s="14"/>
      <c r="P75" s="13"/>
      <c r="Q75" s="14"/>
      <c r="R75" s="14"/>
      <c r="S75" s="14"/>
      <c r="T75" s="13">
        <f>SUM(T73)</f>
        <v>3.9</v>
      </c>
      <c r="U75" s="13"/>
      <c r="V75" s="119">
        <f>SUM(V73)</f>
        <v>76711.600330000001</v>
      </c>
      <c r="W75" s="119"/>
      <c r="X75" s="119">
        <f>SUM(X73)</f>
        <v>76711.600330000001</v>
      </c>
      <c r="Y75" s="119"/>
      <c r="Z75" s="13">
        <f>SUM(Z73:Z74)</f>
        <v>4.2</v>
      </c>
      <c r="AA75" s="13"/>
      <c r="AB75" s="119">
        <f>SUM(AB73:AB74)</f>
        <v>132166.60331999999</v>
      </c>
      <c r="AC75" s="119">
        <f t="shared" ref="AC75:AD75" si="26">SUM(AC73:AC74)</f>
        <v>126879.93918719998</v>
      </c>
      <c r="AD75" s="119">
        <f t="shared" si="26"/>
        <v>5286.6641328000114</v>
      </c>
      <c r="AE75" s="119"/>
      <c r="AF75" s="119"/>
      <c r="AG75" s="119"/>
      <c r="AH75" s="74"/>
      <c r="AI75" s="119"/>
      <c r="AJ75" s="99"/>
      <c r="AK75" s="8"/>
      <c r="AL75" s="8"/>
    </row>
    <row r="76" spans="1:38" s="23" customFormat="1" ht="26.25" customHeight="1">
      <c r="A76" s="159" t="s">
        <v>31</v>
      </c>
      <c r="B76" s="146"/>
      <c r="C76" s="146"/>
      <c r="D76" s="146"/>
      <c r="E76" s="146"/>
      <c r="F76" s="115"/>
      <c r="G76" s="119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9"/>
      <c r="V76" s="19"/>
      <c r="W76" s="19"/>
      <c r="X76" s="19"/>
      <c r="Y76" s="19"/>
      <c r="Z76" s="19"/>
      <c r="AA76" s="17"/>
      <c r="AB76" s="19"/>
      <c r="AC76" s="19"/>
      <c r="AD76" s="19"/>
      <c r="AE76" s="19"/>
      <c r="AF76" s="19"/>
      <c r="AG76" s="19"/>
      <c r="AH76" s="75"/>
      <c r="AI76" s="19"/>
      <c r="AJ76" s="100"/>
      <c r="AK76" s="8"/>
      <c r="AL76" s="8"/>
    </row>
    <row r="77" spans="1:38" s="23" customFormat="1" ht="44.25" customHeight="1">
      <c r="A77" s="69">
        <v>18</v>
      </c>
      <c r="B77" s="30" t="s">
        <v>146</v>
      </c>
      <c r="C77" s="17"/>
      <c r="D77" s="17"/>
      <c r="E77" s="29">
        <v>4.4000000000000004</v>
      </c>
      <c r="F77" s="21"/>
      <c r="G77" s="19">
        <f>(97539.4*1.2)*1.073</f>
        <v>125591.73143999997</v>
      </c>
      <c r="H77" s="21"/>
      <c r="I77" s="22"/>
      <c r="J77" s="22"/>
      <c r="K77" s="22"/>
      <c r="L77" s="27"/>
      <c r="M77" s="28"/>
      <c r="N77" s="22"/>
      <c r="O77" s="22"/>
      <c r="P77" s="20"/>
      <c r="Q77" s="19"/>
      <c r="R77" s="22"/>
      <c r="S77" s="22"/>
      <c r="T77" s="20"/>
      <c r="U77" s="19"/>
      <c r="V77" s="19"/>
      <c r="W77" s="19"/>
      <c r="X77" s="19"/>
      <c r="Y77" s="19"/>
      <c r="Z77" s="21">
        <v>4.4000000000000004</v>
      </c>
      <c r="AA77" s="19"/>
      <c r="AB77" s="19">
        <f>G77</f>
        <v>125591.73143999997</v>
      </c>
      <c r="AC77" s="19">
        <f t="shared" ref="AC77" si="27">AB77*0.96</f>
        <v>120568.06218239997</v>
      </c>
      <c r="AD77" s="19">
        <f t="shared" ref="AD77" si="28">AB77-AC77</f>
        <v>5023.6692576000059</v>
      </c>
      <c r="AE77" s="19"/>
      <c r="AF77" s="19"/>
      <c r="AG77" s="19"/>
      <c r="AH77" s="75"/>
      <c r="AI77" s="19"/>
      <c r="AJ77" s="100"/>
      <c r="AK77" s="8"/>
      <c r="AL77" s="8"/>
    </row>
    <row r="78" spans="1:38" s="23" customFormat="1" ht="27" customHeight="1">
      <c r="A78" s="157" t="s">
        <v>117</v>
      </c>
      <c r="B78" s="158"/>
      <c r="C78" s="17"/>
      <c r="D78" s="17"/>
      <c r="E78" s="13">
        <f>SUM(E77:E77)</f>
        <v>4.4000000000000004</v>
      </c>
      <c r="F78" s="13"/>
      <c r="G78" s="119">
        <f>SUM(G77:G77)</f>
        <v>125591.73143999997</v>
      </c>
      <c r="H78" s="13" t="e">
        <f>SUM(#REF!)</f>
        <v>#REF!</v>
      </c>
      <c r="I78" s="14" t="e">
        <f>SUM(#REF!)</f>
        <v>#REF!</v>
      </c>
      <c r="J78" s="14" t="e">
        <f>SUM(#REF!)</f>
        <v>#REF!</v>
      </c>
      <c r="K78" s="14"/>
      <c r="L78" s="13" t="e">
        <f>SUM(#REF!)</f>
        <v>#REF!</v>
      </c>
      <c r="M78" s="14" t="e">
        <f>SUM(#REF!)</f>
        <v>#REF!</v>
      </c>
      <c r="N78" s="14" t="e">
        <f>SUM(#REF!)</f>
        <v>#REF!</v>
      </c>
      <c r="O78" s="14" t="e">
        <f>SUM(#REF!)</f>
        <v>#REF!</v>
      </c>
      <c r="P78" s="13" t="e">
        <f>SUM(#REF!)</f>
        <v>#REF!</v>
      </c>
      <c r="Q78" s="14" t="e">
        <f>SUM(#REF!)</f>
        <v>#REF!</v>
      </c>
      <c r="R78" s="14" t="e">
        <f>SUM(#REF!)</f>
        <v>#REF!</v>
      </c>
      <c r="S78" s="14"/>
      <c r="T78" s="13"/>
      <c r="U78" s="119"/>
      <c r="V78" s="119"/>
      <c r="W78" s="119"/>
      <c r="X78" s="119"/>
      <c r="Y78" s="119"/>
      <c r="Z78" s="13">
        <f>SUM(Z77:Z77)</f>
        <v>4.4000000000000004</v>
      </c>
      <c r="AA78" s="13"/>
      <c r="AB78" s="119">
        <f>SUM(AB77:AB77)</f>
        <v>125591.73143999997</v>
      </c>
      <c r="AC78" s="119">
        <f>SUM(AC77:AC77)</f>
        <v>120568.06218239997</v>
      </c>
      <c r="AD78" s="119">
        <f>SUM(AD77:AD77)</f>
        <v>5023.6692576000059</v>
      </c>
      <c r="AE78" s="119"/>
      <c r="AF78" s="119"/>
      <c r="AG78" s="119"/>
      <c r="AH78" s="74"/>
      <c r="AI78" s="119"/>
      <c r="AJ78" s="99"/>
      <c r="AK78" s="8"/>
      <c r="AL78" s="8"/>
    </row>
    <row r="79" spans="1:38" s="23" customFormat="1" ht="30" customHeight="1">
      <c r="A79" s="116"/>
      <c r="B79" s="117" t="s">
        <v>74</v>
      </c>
      <c r="C79" s="17"/>
      <c r="D79" s="17"/>
      <c r="E79" s="119"/>
      <c r="F79" s="119"/>
      <c r="G79" s="119"/>
      <c r="H79" s="13"/>
      <c r="I79" s="14"/>
      <c r="J79" s="14"/>
      <c r="K79" s="14"/>
      <c r="L79" s="13"/>
      <c r="M79" s="14"/>
      <c r="N79" s="14"/>
      <c r="O79" s="14"/>
      <c r="P79" s="119"/>
      <c r="Q79" s="14"/>
      <c r="R79" s="14"/>
      <c r="S79" s="14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74"/>
      <c r="AI79" s="119"/>
      <c r="AJ79" s="99"/>
      <c r="AK79" s="8"/>
      <c r="AL79" s="8"/>
    </row>
    <row r="80" spans="1:38" s="23" customFormat="1" ht="45" customHeight="1">
      <c r="A80" s="69">
        <v>19</v>
      </c>
      <c r="B80" s="30" t="s">
        <v>125</v>
      </c>
      <c r="C80" s="17" t="s">
        <v>17</v>
      </c>
      <c r="D80" s="17"/>
      <c r="E80" s="29">
        <v>3.1</v>
      </c>
      <c r="F80" s="119"/>
      <c r="G80" s="19">
        <f>(66247.92*1.2)*1.073</f>
        <v>85300.821792000002</v>
      </c>
      <c r="H80" s="13"/>
      <c r="I80" s="14"/>
      <c r="J80" s="14"/>
      <c r="K80" s="14"/>
      <c r="L80" s="13"/>
      <c r="M80" s="14"/>
      <c r="N80" s="14"/>
      <c r="O80" s="14"/>
      <c r="P80" s="119"/>
      <c r="Q80" s="14"/>
      <c r="R80" s="14"/>
      <c r="S80" s="14"/>
      <c r="T80" s="119"/>
      <c r="U80" s="119"/>
      <c r="V80" s="119"/>
      <c r="W80" s="119"/>
      <c r="X80" s="119"/>
      <c r="Y80" s="119"/>
      <c r="Z80" s="20">
        <v>3.1</v>
      </c>
      <c r="AA80" s="119"/>
      <c r="AB80" s="19">
        <f>G80</f>
        <v>85300.821792000002</v>
      </c>
      <c r="AC80" s="19">
        <f t="shared" ref="AC80" si="29">AB80*0.96</f>
        <v>81888.788920320003</v>
      </c>
      <c r="AD80" s="19">
        <f t="shared" ref="AD80" si="30">AB80-AC80</f>
        <v>3412.0328716799995</v>
      </c>
      <c r="AE80" s="119"/>
      <c r="AF80" s="119"/>
      <c r="AG80" s="119"/>
      <c r="AH80" s="74"/>
      <c r="AI80" s="119"/>
      <c r="AJ80" s="99"/>
      <c r="AK80" s="8"/>
      <c r="AL80" s="8"/>
    </row>
    <row r="81" spans="1:38" s="23" customFormat="1" ht="32.25" customHeight="1">
      <c r="A81" s="157" t="s">
        <v>118</v>
      </c>
      <c r="B81" s="158"/>
      <c r="C81" s="17"/>
      <c r="D81" s="17"/>
      <c r="E81" s="64">
        <f>E80</f>
        <v>3.1</v>
      </c>
      <c r="F81" s="119"/>
      <c r="G81" s="119">
        <f>G80</f>
        <v>85300.821792000002</v>
      </c>
      <c r="H81" s="13"/>
      <c r="I81" s="14"/>
      <c r="J81" s="14"/>
      <c r="K81" s="14"/>
      <c r="L81" s="13"/>
      <c r="M81" s="14"/>
      <c r="N81" s="14"/>
      <c r="O81" s="14"/>
      <c r="P81" s="119"/>
      <c r="Q81" s="14"/>
      <c r="R81" s="14"/>
      <c r="S81" s="14"/>
      <c r="T81" s="119"/>
      <c r="U81" s="119"/>
      <c r="V81" s="119"/>
      <c r="W81" s="119"/>
      <c r="X81" s="119"/>
      <c r="Y81" s="119"/>
      <c r="Z81" s="64">
        <f>Z80</f>
        <v>3.1</v>
      </c>
      <c r="AA81" s="119"/>
      <c r="AB81" s="119">
        <f>AB80</f>
        <v>85300.821792000002</v>
      </c>
      <c r="AC81" s="119">
        <f>AC80</f>
        <v>81888.788920320003</v>
      </c>
      <c r="AD81" s="119">
        <f>AD80</f>
        <v>3412.0328716799995</v>
      </c>
      <c r="AE81" s="119"/>
      <c r="AF81" s="119"/>
      <c r="AG81" s="119"/>
      <c r="AH81" s="74"/>
      <c r="AI81" s="119"/>
      <c r="AJ81" s="99"/>
      <c r="AK81" s="8"/>
      <c r="AL81" s="8"/>
    </row>
    <row r="82" spans="1:38" s="23" customFormat="1" ht="29.25" customHeight="1">
      <c r="A82" s="162" t="s">
        <v>71</v>
      </c>
      <c r="B82" s="163"/>
      <c r="C82" s="17"/>
      <c r="D82" s="17"/>
      <c r="E82" s="64"/>
      <c r="F82" s="119"/>
      <c r="G82" s="119"/>
      <c r="H82" s="13"/>
      <c r="I82" s="14"/>
      <c r="J82" s="14"/>
      <c r="K82" s="14"/>
      <c r="L82" s="13"/>
      <c r="M82" s="14"/>
      <c r="N82" s="14"/>
      <c r="O82" s="14"/>
      <c r="P82" s="119"/>
      <c r="Q82" s="14"/>
      <c r="R82" s="14"/>
      <c r="S82" s="14"/>
      <c r="T82" s="119"/>
      <c r="U82" s="119"/>
      <c r="V82" s="119"/>
      <c r="W82" s="119"/>
      <c r="X82" s="119"/>
      <c r="Y82" s="119"/>
      <c r="Z82" s="64"/>
      <c r="AA82" s="119"/>
      <c r="AB82" s="119"/>
      <c r="AC82" s="119"/>
      <c r="AD82" s="119"/>
      <c r="AE82" s="119"/>
      <c r="AF82" s="119"/>
      <c r="AG82" s="119"/>
      <c r="AH82" s="74"/>
      <c r="AI82" s="119"/>
      <c r="AJ82" s="99"/>
      <c r="AK82" s="8"/>
      <c r="AL82" s="8"/>
    </row>
    <row r="83" spans="1:38" s="23" customFormat="1" ht="68.25" customHeight="1">
      <c r="A83" s="69">
        <v>20</v>
      </c>
      <c r="B83" s="30" t="s">
        <v>93</v>
      </c>
      <c r="C83" s="17" t="s">
        <v>17</v>
      </c>
      <c r="D83" s="17"/>
      <c r="E83" s="29">
        <v>13.75</v>
      </c>
      <c r="F83" s="119"/>
      <c r="G83" s="19">
        <f>V83+AB83</f>
        <v>323992.47898999997</v>
      </c>
      <c r="H83" s="13"/>
      <c r="I83" s="14"/>
      <c r="J83" s="14"/>
      <c r="K83" s="14"/>
      <c r="L83" s="13"/>
      <c r="M83" s="14"/>
      <c r="N83" s="14"/>
      <c r="O83" s="14"/>
      <c r="P83" s="119"/>
      <c r="Q83" s="14"/>
      <c r="R83" s="14"/>
      <c r="S83" s="14"/>
      <c r="T83" s="119"/>
      <c r="U83" s="119"/>
      <c r="V83" s="19">
        <v>150000</v>
      </c>
      <c r="W83" s="119"/>
      <c r="X83" s="19">
        <f>V83</f>
        <v>150000</v>
      </c>
      <c r="Y83" s="119"/>
      <c r="Z83" s="29">
        <f>E83</f>
        <v>13.75</v>
      </c>
      <c r="AA83" s="119"/>
      <c r="AB83" s="19">
        <v>173992.47899</v>
      </c>
      <c r="AC83" s="19">
        <f t="shared" ref="AC83:AC84" si="31">AB83*0.96</f>
        <v>167032.77983039999</v>
      </c>
      <c r="AD83" s="19">
        <f t="shared" ref="AD83:AD84" si="32">AB83-AC83</f>
        <v>6959.6991596000153</v>
      </c>
      <c r="AE83" s="119"/>
      <c r="AF83" s="119"/>
      <c r="AG83" s="119"/>
      <c r="AH83" s="74"/>
      <c r="AI83" s="119"/>
      <c r="AJ83" s="99"/>
      <c r="AK83" s="8"/>
      <c r="AL83" s="8"/>
    </row>
    <row r="84" spans="1:38" s="23" customFormat="1" ht="39.75" customHeight="1">
      <c r="A84" s="69">
        <v>21</v>
      </c>
      <c r="B84" s="30" t="s">
        <v>158</v>
      </c>
      <c r="C84" s="17" t="s">
        <v>17</v>
      </c>
      <c r="D84" s="17"/>
      <c r="E84" s="29">
        <v>2.5</v>
      </c>
      <c r="F84" s="119"/>
      <c r="G84" s="19">
        <v>63750</v>
      </c>
      <c r="H84" s="13"/>
      <c r="I84" s="14"/>
      <c r="J84" s="14"/>
      <c r="K84" s="14"/>
      <c r="L84" s="13"/>
      <c r="M84" s="14"/>
      <c r="N84" s="14"/>
      <c r="O84" s="14"/>
      <c r="P84" s="119"/>
      <c r="Q84" s="14"/>
      <c r="R84" s="14"/>
      <c r="S84" s="14"/>
      <c r="T84" s="119"/>
      <c r="U84" s="119"/>
      <c r="V84" s="19"/>
      <c r="W84" s="119"/>
      <c r="X84" s="19"/>
      <c r="Y84" s="119"/>
      <c r="Z84" s="29">
        <f>E84</f>
        <v>2.5</v>
      </c>
      <c r="AA84" s="119"/>
      <c r="AB84" s="19">
        <f>G84</f>
        <v>63750</v>
      </c>
      <c r="AC84" s="19">
        <f t="shared" si="31"/>
        <v>61200</v>
      </c>
      <c r="AD84" s="19">
        <f t="shared" si="32"/>
        <v>2550</v>
      </c>
      <c r="AE84" s="119"/>
      <c r="AF84" s="119"/>
      <c r="AG84" s="119"/>
      <c r="AH84" s="74"/>
      <c r="AI84" s="119"/>
      <c r="AJ84" s="99"/>
      <c r="AK84" s="8"/>
      <c r="AL84" s="8"/>
    </row>
    <row r="85" spans="1:38" s="23" customFormat="1" ht="31.5" customHeight="1">
      <c r="A85" s="157" t="s">
        <v>119</v>
      </c>
      <c r="B85" s="158"/>
      <c r="C85" s="158"/>
      <c r="D85" s="17"/>
      <c r="E85" s="64">
        <f>SUM(E83:E84)</f>
        <v>16.25</v>
      </c>
      <c r="F85" s="119"/>
      <c r="G85" s="119">
        <f>SUM(G83:G84)</f>
        <v>387742.47898999997</v>
      </c>
      <c r="H85" s="13"/>
      <c r="I85" s="14"/>
      <c r="J85" s="14"/>
      <c r="K85" s="14"/>
      <c r="L85" s="13"/>
      <c r="M85" s="14"/>
      <c r="N85" s="14"/>
      <c r="O85" s="14"/>
      <c r="P85" s="119"/>
      <c r="Q85" s="14"/>
      <c r="R85" s="14"/>
      <c r="S85" s="14"/>
      <c r="T85" s="119"/>
      <c r="U85" s="119"/>
      <c r="V85" s="119">
        <f>SUM(V83)</f>
        <v>150000</v>
      </c>
      <c r="W85" s="119"/>
      <c r="X85" s="119">
        <f>SUM(X83)</f>
        <v>150000</v>
      </c>
      <c r="Y85" s="119"/>
      <c r="Z85" s="87">
        <f>SUM(Z83:Z84)</f>
        <v>16.25</v>
      </c>
      <c r="AA85" s="119"/>
      <c r="AB85" s="119">
        <f>SUM(AB83:AB84)</f>
        <v>237742.47899</v>
      </c>
      <c r="AC85" s="119">
        <f>SUM(AC83:AC84)</f>
        <v>228232.77983039999</v>
      </c>
      <c r="AD85" s="119">
        <f>SUM(AD83:AD84)</f>
        <v>9509.6991596000153</v>
      </c>
      <c r="AE85" s="119"/>
      <c r="AF85" s="119"/>
      <c r="AG85" s="119"/>
      <c r="AH85" s="74"/>
      <c r="AI85" s="119"/>
      <c r="AJ85" s="99"/>
      <c r="AK85" s="8"/>
      <c r="AL85" s="8"/>
    </row>
    <row r="86" spans="1:38" s="23" customFormat="1" ht="27.75" customHeight="1">
      <c r="A86" s="162" t="s">
        <v>84</v>
      </c>
      <c r="B86" s="163"/>
      <c r="C86" s="32"/>
      <c r="D86" s="32"/>
      <c r="E86" s="13"/>
      <c r="F86" s="13"/>
      <c r="G86" s="119"/>
      <c r="H86" s="13"/>
      <c r="I86" s="14"/>
      <c r="J86" s="14"/>
      <c r="K86" s="14"/>
      <c r="L86" s="13"/>
      <c r="M86" s="14"/>
      <c r="N86" s="14"/>
      <c r="O86" s="14"/>
      <c r="P86" s="13"/>
      <c r="Q86" s="14"/>
      <c r="R86" s="14"/>
      <c r="S86" s="14"/>
      <c r="T86" s="13"/>
      <c r="U86" s="119"/>
      <c r="V86" s="119"/>
      <c r="W86" s="119"/>
      <c r="X86" s="119"/>
      <c r="Y86" s="119"/>
      <c r="Z86" s="119"/>
      <c r="AA86" s="13"/>
      <c r="AB86" s="119"/>
      <c r="AC86" s="119"/>
      <c r="AD86" s="119"/>
      <c r="AE86" s="119"/>
      <c r="AF86" s="119"/>
      <c r="AG86" s="119"/>
      <c r="AH86" s="74"/>
      <c r="AI86" s="119"/>
      <c r="AJ86" s="99"/>
      <c r="AK86" s="8"/>
      <c r="AL86" s="8"/>
    </row>
    <row r="87" spans="1:38" s="23" customFormat="1" ht="46.5" customHeight="1">
      <c r="A87" s="69">
        <v>22</v>
      </c>
      <c r="B87" s="30" t="s">
        <v>85</v>
      </c>
      <c r="C87" s="17" t="s">
        <v>17</v>
      </c>
      <c r="D87" s="32"/>
      <c r="E87" s="21">
        <v>3.5</v>
      </c>
      <c r="F87" s="13"/>
      <c r="G87" s="19">
        <f>79249.27*1.2*1.0792+1000</f>
        <v>103630.97462079999</v>
      </c>
      <c r="H87" s="13"/>
      <c r="I87" s="14"/>
      <c r="J87" s="14"/>
      <c r="K87" s="14"/>
      <c r="L87" s="13"/>
      <c r="M87" s="14"/>
      <c r="N87" s="14"/>
      <c r="O87" s="14"/>
      <c r="P87" s="13"/>
      <c r="Q87" s="14"/>
      <c r="R87" s="14"/>
      <c r="S87" s="14"/>
      <c r="T87" s="13"/>
      <c r="U87" s="119"/>
      <c r="V87" s="119"/>
      <c r="W87" s="119"/>
      <c r="X87" s="119"/>
      <c r="Y87" s="119"/>
      <c r="Z87" s="21">
        <f>E87</f>
        <v>3.5</v>
      </c>
      <c r="AA87" s="13"/>
      <c r="AB87" s="19">
        <f>G87</f>
        <v>103630.97462079999</v>
      </c>
      <c r="AC87" s="19">
        <f t="shared" ref="AC87" si="33">AB87*0.96</f>
        <v>99485.735635967983</v>
      </c>
      <c r="AD87" s="19">
        <f>AB87-AC87</f>
        <v>4145.2389848320017</v>
      </c>
      <c r="AE87" s="119"/>
      <c r="AF87" s="119"/>
      <c r="AG87" s="119"/>
      <c r="AH87" s="74"/>
      <c r="AI87" s="119"/>
      <c r="AJ87" s="99"/>
      <c r="AK87" s="8"/>
      <c r="AL87" s="8"/>
    </row>
    <row r="88" spans="1:38" s="23" customFormat="1" ht="29.25" customHeight="1">
      <c r="A88" s="157" t="s">
        <v>120</v>
      </c>
      <c r="B88" s="158"/>
      <c r="C88" s="17"/>
      <c r="D88" s="17"/>
      <c r="E88" s="64">
        <f>E87</f>
        <v>3.5</v>
      </c>
      <c r="F88" s="119"/>
      <c r="G88" s="119">
        <f>G87</f>
        <v>103630.97462079999</v>
      </c>
      <c r="H88" s="13"/>
      <c r="I88" s="14"/>
      <c r="J88" s="14"/>
      <c r="K88" s="14"/>
      <c r="L88" s="13"/>
      <c r="M88" s="14"/>
      <c r="N88" s="14"/>
      <c r="O88" s="14"/>
      <c r="P88" s="119"/>
      <c r="Q88" s="14"/>
      <c r="R88" s="14"/>
      <c r="S88" s="14"/>
      <c r="T88" s="119"/>
      <c r="U88" s="119"/>
      <c r="V88" s="119"/>
      <c r="W88" s="119"/>
      <c r="X88" s="119"/>
      <c r="Y88" s="119"/>
      <c r="Z88" s="64">
        <f>Z87</f>
        <v>3.5</v>
      </c>
      <c r="AA88" s="119"/>
      <c r="AB88" s="119">
        <f>AB87</f>
        <v>103630.97462079999</v>
      </c>
      <c r="AC88" s="119">
        <f t="shared" ref="AC88:AD88" si="34">AC87</f>
        <v>99485.735635967983</v>
      </c>
      <c r="AD88" s="119">
        <f t="shared" si="34"/>
        <v>4145.2389848320017</v>
      </c>
      <c r="AE88" s="119"/>
      <c r="AF88" s="119"/>
      <c r="AG88" s="119"/>
      <c r="AH88" s="74"/>
      <c r="AI88" s="119"/>
      <c r="AJ88" s="99"/>
      <c r="AK88" s="8"/>
      <c r="AL88" s="8"/>
    </row>
    <row r="89" spans="1:38" s="23" customFormat="1" ht="39.75" customHeight="1">
      <c r="A89" s="162" t="s">
        <v>32</v>
      </c>
      <c r="B89" s="163"/>
      <c r="C89" s="146"/>
      <c r="D89" s="146"/>
      <c r="E89" s="146"/>
      <c r="F89" s="115"/>
      <c r="G89" s="119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9"/>
      <c r="V89" s="19"/>
      <c r="W89" s="19"/>
      <c r="X89" s="19"/>
      <c r="Y89" s="19"/>
      <c r="Z89" s="19"/>
      <c r="AA89" s="17"/>
      <c r="AB89" s="19"/>
      <c r="AC89" s="19"/>
      <c r="AD89" s="19"/>
      <c r="AE89" s="19"/>
      <c r="AF89" s="19"/>
      <c r="AG89" s="19"/>
      <c r="AH89" s="75"/>
      <c r="AI89" s="19"/>
      <c r="AJ89" s="100"/>
      <c r="AK89" s="8"/>
      <c r="AL89" s="8"/>
    </row>
    <row r="90" spans="1:38" s="23" customFormat="1" ht="45" customHeight="1">
      <c r="A90" s="69">
        <v>23</v>
      </c>
      <c r="B90" s="30" t="s">
        <v>33</v>
      </c>
      <c r="C90" s="17" t="s">
        <v>17</v>
      </c>
      <c r="D90" s="17"/>
      <c r="E90" s="29">
        <v>2.82</v>
      </c>
      <c r="F90" s="29"/>
      <c r="G90" s="19">
        <v>73334.083140000002</v>
      </c>
      <c r="H90" s="21"/>
      <c r="I90" s="22"/>
      <c r="J90" s="22"/>
      <c r="K90" s="22"/>
      <c r="L90" s="27"/>
      <c r="M90" s="28"/>
      <c r="N90" s="22"/>
      <c r="O90" s="22" t="s">
        <v>21</v>
      </c>
      <c r="P90" s="27"/>
      <c r="Q90" s="28"/>
      <c r="R90" s="22"/>
      <c r="S90" s="22"/>
      <c r="T90" s="20">
        <f>E90</f>
        <v>2.82</v>
      </c>
      <c r="U90" s="19"/>
      <c r="V90" s="19">
        <f>G90</f>
        <v>73334.083140000002</v>
      </c>
      <c r="W90" s="19"/>
      <c r="X90" s="19">
        <f>V90</f>
        <v>73334.083140000002</v>
      </c>
      <c r="Y90" s="19"/>
      <c r="Z90" s="29"/>
      <c r="AA90" s="20"/>
      <c r="AB90" s="19"/>
      <c r="AC90" s="19"/>
      <c r="AD90" s="19"/>
      <c r="AE90" s="19"/>
      <c r="AF90" s="19"/>
      <c r="AG90" s="19"/>
      <c r="AH90" s="75"/>
      <c r="AI90" s="19"/>
      <c r="AJ90" s="100"/>
      <c r="AK90" s="8"/>
      <c r="AL90" s="8"/>
    </row>
    <row r="91" spans="1:38" s="23" customFormat="1" ht="36.75" customHeight="1">
      <c r="A91" s="157" t="s">
        <v>46</v>
      </c>
      <c r="B91" s="158"/>
      <c r="C91" s="32"/>
      <c r="D91" s="32"/>
      <c r="E91" s="13">
        <f>SUM(E90:E90)</f>
        <v>2.82</v>
      </c>
      <c r="F91" s="13"/>
      <c r="G91" s="119">
        <f>SUM(G90:G90)</f>
        <v>73334.083140000002</v>
      </c>
      <c r="H91" s="13" t="e">
        <f>SUM(#REF!)</f>
        <v>#REF!</v>
      </c>
      <c r="I91" s="14" t="e">
        <f>SUM(#REF!)</f>
        <v>#REF!</v>
      </c>
      <c r="J91" s="14" t="e">
        <f>SUM(#REF!)</f>
        <v>#REF!</v>
      </c>
      <c r="K91" s="14"/>
      <c r="L91" s="13" t="e">
        <f>SUM(#REF!)</f>
        <v>#REF!</v>
      </c>
      <c r="M91" s="14" t="e">
        <f>SUM(#REF!)</f>
        <v>#REF!</v>
      </c>
      <c r="N91" s="14" t="e">
        <f>SUM(#REF!)</f>
        <v>#REF!</v>
      </c>
      <c r="O91" s="14"/>
      <c r="P91" s="13">
        <f>SUM(P90:P90)</f>
        <v>0</v>
      </c>
      <c r="Q91" s="14">
        <f>SUM(Q90:Q90)</f>
        <v>0</v>
      </c>
      <c r="R91" s="14">
        <f>SUM(R90:R90)</f>
        <v>0</v>
      </c>
      <c r="S91" s="14"/>
      <c r="T91" s="13">
        <f>SUM(T90:T90)</f>
        <v>2.82</v>
      </c>
      <c r="U91" s="119">
        <f>SUM(U90:U90)</f>
        <v>0</v>
      </c>
      <c r="V91" s="119">
        <f>SUM(V90:V90)</f>
        <v>73334.083140000002</v>
      </c>
      <c r="W91" s="119"/>
      <c r="X91" s="119">
        <f>SUM(X90:X90)</f>
        <v>73334.083140000002</v>
      </c>
      <c r="Y91" s="119"/>
      <c r="Z91" s="119"/>
      <c r="AA91" s="13"/>
      <c r="AB91" s="119"/>
      <c r="AC91" s="119"/>
      <c r="AD91" s="119"/>
      <c r="AE91" s="119"/>
      <c r="AF91" s="119"/>
      <c r="AG91" s="119"/>
      <c r="AH91" s="74"/>
      <c r="AI91" s="119"/>
      <c r="AJ91" s="99"/>
      <c r="AK91" s="8"/>
      <c r="AL91" s="8"/>
    </row>
    <row r="92" spans="1:38" s="23" customFormat="1" ht="28.5" customHeight="1">
      <c r="A92" s="159" t="s">
        <v>94</v>
      </c>
      <c r="B92" s="146"/>
      <c r="C92" s="32"/>
      <c r="D92" s="32"/>
      <c r="E92" s="13"/>
      <c r="F92" s="13"/>
      <c r="G92" s="119"/>
      <c r="H92" s="13"/>
      <c r="I92" s="14"/>
      <c r="J92" s="14"/>
      <c r="K92" s="14"/>
      <c r="L92" s="13"/>
      <c r="M92" s="14"/>
      <c r="N92" s="14"/>
      <c r="O92" s="14"/>
      <c r="P92" s="13"/>
      <c r="Q92" s="14"/>
      <c r="R92" s="14"/>
      <c r="S92" s="14"/>
      <c r="T92" s="13"/>
      <c r="U92" s="119"/>
      <c r="V92" s="119"/>
      <c r="W92" s="119"/>
      <c r="X92" s="119"/>
      <c r="Y92" s="119"/>
      <c r="Z92" s="119"/>
      <c r="AA92" s="13"/>
      <c r="AB92" s="119"/>
      <c r="AC92" s="119"/>
      <c r="AD92" s="119"/>
      <c r="AE92" s="119"/>
      <c r="AF92" s="119"/>
      <c r="AG92" s="119"/>
      <c r="AH92" s="74"/>
      <c r="AI92" s="119"/>
      <c r="AJ92" s="99"/>
      <c r="AK92" s="8"/>
      <c r="AL92" s="8"/>
    </row>
    <row r="93" spans="1:38" s="23" customFormat="1" ht="46.5" customHeight="1">
      <c r="A93" s="69">
        <v>24</v>
      </c>
      <c r="B93" s="30" t="s">
        <v>159</v>
      </c>
      <c r="C93" s="32"/>
      <c r="D93" s="32"/>
      <c r="E93" s="21">
        <f>38.268-32.25</f>
        <v>6.0180000000000007</v>
      </c>
      <c r="F93" s="56"/>
      <c r="G93" s="19">
        <f>E93*26000+13000-654.14228</f>
        <v>168813.85772000003</v>
      </c>
      <c r="H93" s="13"/>
      <c r="I93" s="14"/>
      <c r="J93" s="14"/>
      <c r="K93" s="14"/>
      <c r="L93" s="13"/>
      <c r="M93" s="14"/>
      <c r="N93" s="14"/>
      <c r="O93" s="14"/>
      <c r="P93" s="13"/>
      <c r="Q93" s="14"/>
      <c r="R93" s="14"/>
      <c r="S93" s="14"/>
      <c r="T93" s="13"/>
      <c r="U93" s="119"/>
      <c r="V93" s="119"/>
      <c r="W93" s="119"/>
      <c r="X93" s="119"/>
      <c r="Y93" s="119"/>
      <c r="Z93" s="21">
        <f>E93</f>
        <v>6.0180000000000007</v>
      </c>
      <c r="AA93" s="13"/>
      <c r="AB93" s="19">
        <f>G93</f>
        <v>168813.85772000003</v>
      </c>
      <c r="AC93" s="20">
        <f t="shared" ref="AC93:AC94" si="35">AB93*0.96</f>
        <v>162061.30341120003</v>
      </c>
      <c r="AD93" s="19">
        <f t="shared" ref="AD93:AD94" si="36">AB93-AC93</f>
        <v>6752.5543087999977</v>
      </c>
      <c r="AE93" s="119"/>
      <c r="AF93" s="119"/>
      <c r="AG93" s="119"/>
      <c r="AH93" s="74"/>
      <c r="AI93" s="119"/>
      <c r="AJ93" s="99"/>
      <c r="AK93" s="8"/>
      <c r="AL93" s="8"/>
    </row>
    <row r="94" spans="1:38" s="23" customFormat="1" ht="46.5" customHeight="1">
      <c r="A94" s="69">
        <v>25</v>
      </c>
      <c r="B94" s="30" t="s">
        <v>160</v>
      </c>
      <c r="C94" s="32"/>
      <c r="D94" s="32"/>
      <c r="E94" s="21">
        <f>27-23.25</f>
        <v>3.75</v>
      </c>
      <c r="F94" s="56"/>
      <c r="G94" s="19">
        <f>E94*28000-9000</f>
        <v>96000</v>
      </c>
      <c r="H94" s="13"/>
      <c r="I94" s="14"/>
      <c r="J94" s="14"/>
      <c r="K94" s="14"/>
      <c r="L94" s="13"/>
      <c r="M94" s="14"/>
      <c r="N94" s="14"/>
      <c r="O94" s="14"/>
      <c r="P94" s="13"/>
      <c r="Q94" s="14"/>
      <c r="R94" s="14"/>
      <c r="S94" s="14"/>
      <c r="T94" s="13"/>
      <c r="U94" s="119"/>
      <c r="V94" s="119"/>
      <c r="W94" s="119"/>
      <c r="X94" s="119"/>
      <c r="Y94" s="119"/>
      <c r="Z94" s="21">
        <f>E94</f>
        <v>3.75</v>
      </c>
      <c r="AA94" s="13"/>
      <c r="AB94" s="19">
        <f>G94</f>
        <v>96000</v>
      </c>
      <c r="AC94" s="20">
        <f t="shared" si="35"/>
        <v>92160</v>
      </c>
      <c r="AD94" s="19">
        <f t="shared" si="36"/>
        <v>3840</v>
      </c>
      <c r="AE94" s="119"/>
      <c r="AF94" s="119"/>
      <c r="AG94" s="119"/>
      <c r="AH94" s="74"/>
      <c r="AI94" s="119"/>
      <c r="AJ94" s="99"/>
      <c r="AK94" s="8"/>
      <c r="AL94" s="8"/>
    </row>
    <row r="95" spans="1:38" s="23" customFormat="1" ht="30" customHeight="1">
      <c r="A95" s="157" t="s">
        <v>121</v>
      </c>
      <c r="B95" s="158"/>
      <c r="C95" s="32"/>
      <c r="D95" s="32"/>
      <c r="E95" s="13">
        <f>SUM(E93:E94)</f>
        <v>9.7680000000000007</v>
      </c>
      <c r="F95" s="13"/>
      <c r="G95" s="119">
        <f>SUM(G93:G94)</f>
        <v>264813.85772000003</v>
      </c>
      <c r="H95" s="13"/>
      <c r="I95" s="14"/>
      <c r="J95" s="14"/>
      <c r="K95" s="14"/>
      <c r="L95" s="13"/>
      <c r="M95" s="14"/>
      <c r="N95" s="14"/>
      <c r="O95" s="14"/>
      <c r="P95" s="13"/>
      <c r="Q95" s="14"/>
      <c r="R95" s="14"/>
      <c r="S95" s="14"/>
      <c r="T95" s="13"/>
      <c r="U95" s="119"/>
      <c r="V95" s="119"/>
      <c r="W95" s="119"/>
      <c r="X95" s="119"/>
      <c r="Y95" s="119"/>
      <c r="Z95" s="13">
        <f>SUM(Z93:Z94)</f>
        <v>9.7680000000000007</v>
      </c>
      <c r="AA95" s="13"/>
      <c r="AB95" s="119">
        <f>SUM(AB93:AB94)</f>
        <v>264813.85772000003</v>
      </c>
      <c r="AC95" s="119">
        <f>SUM(AC93:AC94)</f>
        <v>254221.30341120003</v>
      </c>
      <c r="AD95" s="119">
        <f>SUM(AD93:AD94)</f>
        <v>10592.554308799998</v>
      </c>
      <c r="AE95" s="119"/>
      <c r="AF95" s="119"/>
      <c r="AG95" s="119"/>
      <c r="AH95" s="74"/>
      <c r="AI95" s="119"/>
      <c r="AJ95" s="99"/>
      <c r="AK95" s="8"/>
      <c r="AL95" s="8"/>
    </row>
    <row r="96" spans="1:38" s="23" customFormat="1" ht="29.25" customHeight="1">
      <c r="A96" s="159" t="s">
        <v>34</v>
      </c>
      <c r="B96" s="146"/>
      <c r="C96" s="146"/>
      <c r="D96" s="146"/>
      <c r="E96" s="146"/>
      <c r="F96" s="115"/>
      <c r="G96" s="119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9"/>
      <c r="V96" s="19"/>
      <c r="W96" s="19"/>
      <c r="X96" s="19"/>
      <c r="Y96" s="19"/>
      <c r="Z96" s="19"/>
      <c r="AA96" s="17"/>
      <c r="AB96" s="19"/>
      <c r="AC96" s="19"/>
      <c r="AD96" s="19"/>
      <c r="AE96" s="19"/>
      <c r="AF96" s="19"/>
      <c r="AG96" s="19"/>
      <c r="AH96" s="75"/>
      <c r="AI96" s="19"/>
      <c r="AJ96" s="100"/>
      <c r="AK96" s="8"/>
      <c r="AL96" s="8"/>
    </row>
    <row r="97" spans="1:38" s="23" customFormat="1" ht="48" customHeight="1">
      <c r="A97" s="69">
        <v>26</v>
      </c>
      <c r="B97" s="30" t="s">
        <v>63</v>
      </c>
      <c r="C97" s="17" t="s">
        <v>17</v>
      </c>
      <c r="D97" s="17"/>
      <c r="E97" s="29">
        <f>8.63-1.82</f>
        <v>6.8100000000000005</v>
      </c>
      <c r="F97" s="29"/>
      <c r="G97" s="19">
        <v>163235.96216</v>
      </c>
      <c r="H97" s="21"/>
      <c r="I97" s="22"/>
      <c r="J97" s="22"/>
      <c r="K97" s="22"/>
      <c r="L97" s="27"/>
      <c r="M97" s="28"/>
      <c r="N97" s="22"/>
      <c r="O97" s="22"/>
      <c r="P97" s="20"/>
      <c r="Q97" s="22"/>
      <c r="R97" s="22"/>
      <c r="S97" s="22"/>
      <c r="T97" s="20">
        <f>E97</f>
        <v>6.8100000000000005</v>
      </c>
      <c r="U97" s="19"/>
      <c r="V97" s="19">
        <f>G97</f>
        <v>163235.96216</v>
      </c>
      <c r="W97" s="19"/>
      <c r="X97" s="19">
        <f>V97</f>
        <v>163235.96216</v>
      </c>
      <c r="Y97" s="19"/>
      <c r="Z97" s="19"/>
      <c r="AA97" s="20"/>
      <c r="AB97" s="24"/>
      <c r="AC97" s="24"/>
      <c r="AD97" s="24"/>
      <c r="AE97" s="24"/>
      <c r="AF97" s="24"/>
      <c r="AG97" s="19"/>
      <c r="AH97" s="75"/>
      <c r="AI97" s="19"/>
      <c r="AJ97" s="100"/>
      <c r="AK97" s="8"/>
      <c r="AL97" s="8"/>
    </row>
    <row r="98" spans="1:38" s="23" customFormat="1" ht="36.75" customHeight="1">
      <c r="A98" s="69">
        <v>27</v>
      </c>
      <c r="B98" s="30" t="s">
        <v>147</v>
      </c>
      <c r="C98" s="17"/>
      <c r="D98" s="17"/>
      <c r="E98" s="29">
        <v>6</v>
      </c>
      <c r="F98" s="29"/>
      <c r="G98" s="19">
        <f>116229.73*1.2*1.073</f>
        <v>149657.40034799997</v>
      </c>
      <c r="H98" s="21"/>
      <c r="I98" s="22"/>
      <c r="J98" s="22"/>
      <c r="K98" s="22"/>
      <c r="L98" s="27"/>
      <c r="M98" s="28"/>
      <c r="N98" s="22"/>
      <c r="O98" s="22"/>
      <c r="P98" s="20"/>
      <c r="Q98" s="22"/>
      <c r="R98" s="22"/>
      <c r="S98" s="22"/>
      <c r="T98" s="20"/>
      <c r="U98" s="19"/>
      <c r="V98" s="19"/>
      <c r="W98" s="19"/>
      <c r="X98" s="19"/>
      <c r="Y98" s="19"/>
      <c r="Z98" s="20">
        <v>6</v>
      </c>
      <c r="AA98" s="20"/>
      <c r="AB98" s="19">
        <f>G98</f>
        <v>149657.40034799997</v>
      </c>
      <c r="AC98" s="19">
        <f t="shared" ref="AC98" si="37">AB98*0.96</f>
        <v>143671.10433407995</v>
      </c>
      <c r="AD98" s="19">
        <f t="shared" ref="AD98" si="38">AB98-AC98</f>
        <v>5986.296013920015</v>
      </c>
      <c r="AE98" s="24"/>
      <c r="AF98" s="24"/>
      <c r="AG98" s="19"/>
      <c r="AH98" s="75"/>
      <c r="AI98" s="19"/>
      <c r="AJ98" s="100"/>
      <c r="AK98" s="8"/>
      <c r="AL98" s="8"/>
    </row>
    <row r="99" spans="1:38" s="23" customFormat="1" ht="31.5" customHeight="1">
      <c r="A99" s="70"/>
      <c r="B99" s="16" t="s">
        <v>59</v>
      </c>
      <c r="C99" s="17"/>
      <c r="D99" s="17"/>
      <c r="E99" s="29">
        <f>SUM(E97:E98)</f>
        <v>12.81</v>
      </c>
      <c r="F99" s="29"/>
      <c r="G99" s="19">
        <f>SUM(G97:G98)</f>
        <v>312893.36250799999</v>
      </c>
      <c r="H99" s="21"/>
      <c r="I99" s="22"/>
      <c r="J99" s="22"/>
      <c r="K99" s="22"/>
      <c r="L99" s="27"/>
      <c r="M99" s="28"/>
      <c r="N99" s="22"/>
      <c r="O99" s="22"/>
      <c r="P99" s="20"/>
      <c r="Q99" s="22"/>
      <c r="R99" s="22"/>
      <c r="S99" s="22"/>
      <c r="T99" s="20">
        <f>SUM(T97:T97)</f>
        <v>6.8100000000000005</v>
      </c>
      <c r="U99" s="19"/>
      <c r="V99" s="19">
        <f>SUM(V97:V97)</f>
        <v>163235.96216</v>
      </c>
      <c r="W99" s="19">
        <f>SUM(W97:W97)</f>
        <v>0</v>
      </c>
      <c r="X99" s="19">
        <f>SUM(X97:X97)</f>
        <v>163235.96216</v>
      </c>
      <c r="Y99" s="19"/>
      <c r="Z99" s="29">
        <f>SUM(Z97:Z98)</f>
        <v>6</v>
      </c>
      <c r="AA99" s="29"/>
      <c r="AB99" s="19">
        <f>SUM(AB97:AB98)</f>
        <v>149657.40034799997</v>
      </c>
      <c r="AC99" s="19">
        <f>SUM(AC97:AC98)</f>
        <v>143671.10433407995</v>
      </c>
      <c r="AD99" s="19">
        <f>SUM(AD97:AD98)</f>
        <v>5986.296013920015</v>
      </c>
      <c r="AE99" s="19"/>
      <c r="AF99" s="19"/>
      <c r="AG99" s="19"/>
      <c r="AH99" s="75"/>
      <c r="AI99" s="19"/>
      <c r="AJ99" s="100"/>
      <c r="AK99" s="8"/>
      <c r="AL99" s="8"/>
    </row>
    <row r="100" spans="1:38" s="23" customFormat="1" ht="35.25" customHeight="1">
      <c r="A100" s="70"/>
      <c r="B100" s="16" t="s">
        <v>57</v>
      </c>
      <c r="C100" s="17"/>
      <c r="D100" s="17"/>
      <c r="E100" s="29">
        <f>T100+Z100</f>
        <v>11.998000000000001</v>
      </c>
      <c r="F100" s="29"/>
      <c r="G100" s="19">
        <f>V100+AB100</f>
        <v>324796.90000000002</v>
      </c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>
        <v>7.4320000000000004</v>
      </c>
      <c r="U100" s="19"/>
      <c r="V100" s="19">
        <v>248931</v>
      </c>
      <c r="W100" s="19"/>
      <c r="X100" s="19">
        <f>V100</f>
        <v>248931</v>
      </c>
      <c r="Y100" s="19"/>
      <c r="Z100" s="29">
        <v>4.5659999999999998</v>
      </c>
      <c r="AA100" s="29"/>
      <c r="AB100" s="19">
        <v>75865.899999999994</v>
      </c>
      <c r="AC100" s="19"/>
      <c r="AD100" s="19">
        <f>AB100</f>
        <v>75865.899999999994</v>
      </c>
      <c r="AE100" s="19"/>
      <c r="AF100" s="19"/>
      <c r="AG100" s="19"/>
      <c r="AH100" s="75"/>
      <c r="AI100" s="19"/>
      <c r="AJ100" s="100"/>
      <c r="AK100" s="8"/>
      <c r="AL100" s="8"/>
    </row>
    <row r="101" spans="1:38" s="23" customFormat="1" ht="32.25" customHeight="1">
      <c r="A101" s="157" t="s">
        <v>122</v>
      </c>
      <c r="B101" s="158"/>
      <c r="C101" s="158"/>
      <c r="D101" s="117"/>
      <c r="E101" s="119">
        <f>SUM(E99:E100)</f>
        <v>24.808</v>
      </c>
      <c r="F101" s="119"/>
      <c r="G101" s="119">
        <f>SUM(G99:G100)</f>
        <v>637690.26250800001</v>
      </c>
      <c r="H101" s="13" t="e">
        <f>SUM(#REF!)</f>
        <v>#REF!</v>
      </c>
      <c r="I101" s="14" t="e">
        <f>SUM(#REF!)</f>
        <v>#REF!</v>
      </c>
      <c r="J101" s="14" t="e">
        <f>SUM(#REF!)</f>
        <v>#REF!</v>
      </c>
      <c r="K101" s="14"/>
      <c r="L101" s="13" t="e">
        <f>SUM(#REF!)</f>
        <v>#REF!</v>
      </c>
      <c r="M101" s="14" t="e">
        <f>SUM(#REF!)</f>
        <v>#REF!</v>
      </c>
      <c r="N101" s="14" t="e">
        <f>SUM(#REF!)</f>
        <v>#REF!</v>
      </c>
      <c r="O101" s="14" t="e">
        <f>SUM(#REF!)</f>
        <v>#REF!</v>
      </c>
      <c r="P101" s="119">
        <f>SUM(P97:P100)</f>
        <v>0</v>
      </c>
      <c r="Q101" s="14">
        <f>SUM(Q97:Q100)</f>
        <v>0</v>
      </c>
      <c r="R101" s="14">
        <f>SUM(R97:R100)</f>
        <v>0</v>
      </c>
      <c r="S101" s="14">
        <f>SUM(S97:S100)</f>
        <v>0</v>
      </c>
      <c r="T101" s="119">
        <f>SUM(T99:T100)</f>
        <v>14.242000000000001</v>
      </c>
      <c r="U101" s="119"/>
      <c r="V101" s="119">
        <f>SUM(V99:V100)</f>
        <v>412166.96216</v>
      </c>
      <c r="W101" s="119">
        <f t="shared" ref="W101:X101" si="39">SUM(W99:W100)</f>
        <v>0</v>
      </c>
      <c r="X101" s="119">
        <f t="shared" si="39"/>
        <v>412166.96216</v>
      </c>
      <c r="Y101" s="119"/>
      <c r="Z101" s="119">
        <f>SUM(Z99:Z100)</f>
        <v>10.565999999999999</v>
      </c>
      <c r="AA101" s="119"/>
      <c r="AB101" s="119">
        <f>SUM(AB99:AB100)</f>
        <v>225523.30034799996</v>
      </c>
      <c r="AC101" s="119">
        <f t="shared" ref="AC101:AD101" si="40">SUM(AC99:AC100)</f>
        <v>143671.10433407995</v>
      </c>
      <c r="AD101" s="119">
        <f t="shared" si="40"/>
        <v>81852.196013920009</v>
      </c>
      <c r="AE101" s="119"/>
      <c r="AF101" s="119"/>
      <c r="AG101" s="119"/>
      <c r="AH101" s="74"/>
      <c r="AI101" s="119"/>
      <c r="AJ101" s="99"/>
      <c r="AK101" s="8"/>
      <c r="AL101" s="8"/>
    </row>
    <row r="102" spans="1:38" s="23" customFormat="1" ht="27.2" customHeight="1">
      <c r="A102" s="159" t="s">
        <v>75</v>
      </c>
      <c r="B102" s="146"/>
      <c r="C102" s="117"/>
      <c r="D102" s="117"/>
      <c r="E102" s="119"/>
      <c r="F102" s="119"/>
      <c r="G102" s="119"/>
      <c r="H102" s="13"/>
      <c r="I102" s="14"/>
      <c r="J102" s="14"/>
      <c r="K102" s="14"/>
      <c r="L102" s="13"/>
      <c r="M102" s="14"/>
      <c r="N102" s="14"/>
      <c r="O102" s="14"/>
      <c r="P102" s="119"/>
      <c r="Q102" s="14"/>
      <c r="R102" s="14"/>
      <c r="S102" s="14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74"/>
      <c r="AI102" s="119"/>
      <c r="AJ102" s="99"/>
      <c r="AK102" s="8"/>
      <c r="AL102" s="8"/>
    </row>
    <row r="103" spans="1:38" s="23" customFormat="1" ht="42.75" customHeight="1">
      <c r="A103" s="69">
        <v>28</v>
      </c>
      <c r="B103" s="30" t="s">
        <v>148</v>
      </c>
      <c r="C103" s="17" t="s">
        <v>17</v>
      </c>
      <c r="D103" s="117"/>
      <c r="E103" s="29">
        <v>3.8</v>
      </c>
      <c r="F103" s="119"/>
      <c r="G103" s="19">
        <f>(72206.96*1.2)*1.073</f>
        <v>92973.681696</v>
      </c>
      <c r="H103" s="13"/>
      <c r="I103" s="14"/>
      <c r="J103" s="14"/>
      <c r="K103" s="14"/>
      <c r="L103" s="13"/>
      <c r="M103" s="14"/>
      <c r="N103" s="14"/>
      <c r="O103" s="14"/>
      <c r="P103" s="119"/>
      <c r="Q103" s="14"/>
      <c r="R103" s="14"/>
      <c r="S103" s="14"/>
      <c r="T103" s="119"/>
      <c r="U103" s="119"/>
      <c r="V103" s="119"/>
      <c r="W103" s="119"/>
      <c r="X103" s="119"/>
      <c r="Y103" s="119"/>
      <c r="Z103" s="20">
        <f>E103</f>
        <v>3.8</v>
      </c>
      <c r="AA103" s="119"/>
      <c r="AB103" s="19">
        <f>G103</f>
        <v>92973.681696</v>
      </c>
      <c r="AC103" s="19">
        <f t="shared" ref="AC103:AC104" si="41">AB103*0.96</f>
        <v>89254.734428159994</v>
      </c>
      <c r="AD103" s="19">
        <f t="shared" ref="AD103:AD104" si="42">AB103-AC103</f>
        <v>3718.9472678400052</v>
      </c>
      <c r="AE103" s="119"/>
      <c r="AF103" s="119"/>
      <c r="AG103" s="119"/>
      <c r="AH103" s="74"/>
      <c r="AI103" s="119"/>
      <c r="AJ103" s="99"/>
      <c r="AK103" s="8"/>
      <c r="AL103" s="8"/>
    </row>
    <row r="104" spans="1:38" s="23" customFormat="1" ht="45" customHeight="1">
      <c r="A104" s="69">
        <v>29</v>
      </c>
      <c r="B104" s="30" t="s">
        <v>86</v>
      </c>
      <c r="C104" s="17" t="s">
        <v>17</v>
      </c>
      <c r="D104" s="117"/>
      <c r="E104" s="20">
        <v>5</v>
      </c>
      <c r="F104" s="119"/>
      <c r="G104" s="19">
        <f>(100173.8*1.2)*1.073</f>
        <v>128983.78487999999</v>
      </c>
      <c r="H104" s="13"/>
      <c r="I104" s="14"/>
      <c r="J104" s="14"/>
      <c r="K104" s="14"/>
      <c r="L104" s="13"/>
      <c r="M104" s="14"/>
      <c r="N104" s="14"/>
      <c r="O104" s="14"/>
      <c r="P104" s="119"/>
      <c r="Q104" s="14"/>
      <c r="R104" s="14"/>
      <c r="S104" s="14"/>
      <c r="T104" s="119"/>
      <c r="U104" s="119"/>
      <c r="V104" s="119"/>
      <c r="W104" s="119"/>
      <c r="X104" s="119"/>
      <c r="Y104" s="119"/>
      <c r="Z104" s="20">
        <f>E104</f>
        <v>5</v>
      </c>
      <c r="AA104" s="119"/>
      <c r="AB104" s="19">
        <f>G104</f>
        <v>128983.78487999999</v>
      </c>
      <c r="AC104" s="19">
        <f t="shared" si="41"/>
        <v>123824.43348479999</v>
      </c>
      <c r="AD104" s="19">
        <f t="shared" si="42"/>
        <v>5159.3513952000067</v>
      </c>
      <c r="AE104" s="119"/>
      <c r="AF104" s="119"/>
      <c r="AG104" s="119"/>
      <c r="AH104" s="74" t="s">
        <v>19</v>
      </c>
      <c r="AI104" s="119"/>
      <c r="AJ104" s="99"/>
      <c r="AK104" s="8"/>
      <c r="AL104" s="8"/>
    </row>
    <row r="105" spans="1:38" s="23" customFormat="1" ht="33" customHeight="1">
      <c r="A105" s="157" t="s">
        <v>134</v>
      </c>
      <c r="B105" s="158"/>
      <c r="C105" s="117"/>
      <c r="D105" s="117"/>
      <c r="E105" s="64">
        <f>SUM(E103:E104)</f>
        <v>8.8000000000000007</v>
      </c>
      <c r="F105" s="119"/>
      <c r="G105" s="119">
        <f>SUM(G103:G104)</f>
        <v>221957.46657599998</v>
      </c>
      <c r="H105" s="13"/>
      <c r="I105" s="14"/>
      <c r="J105" s="14"/>
      <c r="K105" s="14"/>
      <c r="L105" s="13"/>
      <c r="M105" s="14"/>
      <c r="N105" s="14"/>
      <c r="O105" s="14"/>
      <c r="P105" s="119"/>
      <c r="Q105" s="14"/>
      <c r="R105" s="14"/>
      <c r="S105" s="14"/>
      <c r="T105" s="119"/>
      <c r="U105" s="119"/>
      <c r="V105" s="119"/>
      <c r="W105" s="119"/>
      <c r="X105" s="119"/>
      <c r="Y105" s="119"/>
      <c r="Z105" s="64">
        <f>SUM(Z103:Z104)</f>
        <v>8.8000000000000007</v>
      </c>
      <c r="AA105" s="119"/>
      <c r="AB105" s="119">
        <f>SUM(AB103:AB104)</f>
        <v>221957.46657599998</v>
      </c>
      <c r="AC105" s="119">
        <f>SUM(AC103:AC104)</f>
        <v>213079.16791295999</v>
      </c>
      <c r="AD105" s="119">
        <f>SUM(AD103:AD104)</f>
        <v>8878.2986630400119</v>
      </c>
      <c r="AE105" s="119"/>
      <c r="AF105" s="119"/>
      <c r="AG105" s="119"/>
      <c r="AH105" s="74"/>
      <c r="AI105" s="119"/>
      <c r="AJ105" s="99"/>
      <c r="AK105" s="8"/>
      <c r="AL105" s="8"/>
    </row>
    <row r="106" spans="1:38" s="23" customFormat="1" ht="31.5" customHeight="1">
      <c r="A106" s="159" t="s">
        <v>35</v>
      </c>
      <c r="B106" s="146"/>
      <c r="C106" s="146"/>
      <c r="D106" s="146"/>
      <c r="E106" s="146"/>
      <c r="F106" s="115"/>
      <c r="G106" s="119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9"/>
      <c r="V106" s="19"/>
      <c r="W106" s="19"/>
      <c r="X106" s="19"/>
      <c r="Y106" s="19"/>
      <c r="Z106" s="19"/>
      <c r="AA106" s="17"/>
      <c r="AB106" s="19"/>
      <c r="AC106" s="19"/>
      <c r="AD106" s="19"/>
      <c r="AE106" s="19"/>
      <c r="AF106" s="19"/>
      <c r="AG106" s="19"/>
      <c r="AH106" s="75"/>
      <c r="AI106" s="19"/>
      <c r="AJ106" s="100"/>
      <c r="AK106" s="8"/>
      <c r="AL106" s="8"/>
    </row>
    <row r="107" spans="1:38" s="23" customFormat="1" ht="45" customHeight="1">
      <c r="A107" s="69">
        <v>30</v>
      </c>
      <c r="B107" s="30" t="s">
        <v>64</v>
      </c>
      <c r="C107" s="17" t="s">
        <v>17</v>
      </c>
      <c r="D107" s="17"/>
      <c r="E107" s="29">
        <v>8.32</v>
      </c>
      <c r="F107" s="29"/>
      <c r="G107" s="19">
        <v>203076.71726999999</v>
      </c>
      <c r="H107" s="21"/>
      <c r="I107" s="22"/>
      <c r="J107" s="22"/>
      <c r="K107" s="22"/>
      <c r="L107" s="20"/>
      <c r="M107" s="22"/>
      <c r="N107" s="22"/>
      <c r="O107" s="22"/>
      <c r="P107" s="27"/>
      <c r="Q107" s="28"/>
      <c r="R107" s="22"/>
      <c r="S107" s="22"/>
      <c r="T107" s="20">
        <f>E107</f>
        <v>8.32</v>
      </c>
      <c r="U107" s="19"/>
      <c r="V107" s="19">
        <f>G107</f>
        <v>203076.71726999999</v>
      </c>
      <c r="W107" s="19"/>
      <c r="X107" s="19">
        <f>V107</f>
        <v>203076.71726999999</v>
      </c>
      <c r="Y107" s="19"/>
      <c r="Z107" s="29"/>
      <c r="AA107" s="20"/>
      <c r="AB107" s="19"/>
      <c r="AC107" s="19"/>
      <c r="AD107" s="19"/>
      <c r="AE107" s="19"/>
      <c r="AF107" s="19"/>
      <c r="AG107" s="19"/>
      <c r="AH107" s="75"/>
      <c r="AI107" s="19"/>
      <c r="AJ107" s="100"/>
      <c r="AK107" s="8"/>
      <c r="AL107" s="8"/>
    </row>
    <row r="108" spans="1:38" s="23" customFormat="1" ht="39.75" customHeight="1">
      <c r="A108" s="69">
        <v>31</v>
      </c>
      <c r="B108" s="30" t="s">
        <v>149</v>
      </c>
      <c r="C108" s="17" t="s">
        <v>17</v>
      </c>
      <c r="D108" s="17"/>
      <c r="E108" s="29">
        <f>3.625-1.986</f>
        <v>1.639</v>
      </c>
      <c r="F108" s="29"/>
      <c r="G108" s="19">
        <f>32213.6*1.2*1.073</f>
        <v>41478.231359999998</v>
      </c>
      <c r="H108" s="21"/>
      <c r="I108" s="22"/>
      <c r="J108" s="22"/>
      <c r="K108" s="22"/>
      <c r="L108" s="20"/>
      <c r="M108" s="22"/>
      <c r="N108" s="22"/>
      <c r="O108" s="22"/>
      <c r="P108" s="27"/>
      <c r="Q108" s="28"/>
      <c r="R108" s="22"/>
      <c r="S108" s="22"/>
      <c r="T108" s="20"/>
      <c r="U108" s="19"/>
      <c r="V108" s="19"/>
      <c r="W108" s="19"/>
      <c r="X108" s="19"/>
      <c r="Y108" s="19"/>
      <c r="Z108" s="29">
        <f>E108</f>
        <v>1.639</v>
      </c>
      <c r="AA108" s="20"/>
      <c r="AB108" s="19">
        <f>G108</f>
        <v>41478.231359999998</v>
      </c>
      <c r="AC108" s="20">
        <f t="shared" ref="AC108" si="43">AB108*0.96</f>
        <v>39819.102105599995</v>
      </c>
      <c r="AD108" s="19">
        <f t="shared" ref="AD108" si="44">AB108-AC108</f>
        <v>1659.1292544000025</v>
      </c>
      <c r="AE108" s="19"/>
      <c r="AF108" s="19"/>
      <c r="AG108" s="19"/>
      <c r="AH108" s="75"/>
      <c r="AI108" s="19"/>
      <c r="AJ108" s="100"/>
      <c r="AK108" s="8"/>
      <c r="AL108" s="8"/>
    </row>
    <row r="109" spans="1:38" s="23" customFormat="1" ht="27" customHeight="1">
      <c r="A109" s="70"/>
      <c r="B109" s="16" t="s">
        <v>57</v>
      </c>
      <c r="C109" s="17" t="s">
        <v>23</v>
      </c>
      <c r="D109" s="17"/>
      <c r="E109" s="29">
        <f>T109+Z109</f>
        <v>12.884</v>
      </c>
      <c r="F109" s="29"/>
      <c r="G109" s="19">
        <f>V109+AB109</f>
        <v>256645.1</v>
      </c>
      <c r="H109" s="21"/>
      <c r="I109" s="22"/>
      <c r="J109" s="22"/>
      <c r="K109" s="22"/>
      <c r="L109" s="20"/>
      <c r="M109" s="22"/>
      <c r="N109" s="22"/>
      <c r="O109" s="22"/>
      <c r="P109" s="27"/>
      <c r="Q109" s="28"/>
      <c r="R109" s="22"/>
      <c r="S109" s="22"/>
      <c r="T109" s="20">
        <v>10.592000000000001</v>
      </c>
      <c r="U109" s="19"/>
      <c r="V109" s="19">
        <v>204675</v>
      </c>
      <c r="W109" s="19"/>
      <c r="X109" s="19">
        <f>V109</f>
        <v>204675</v>
      </c>
      <c r="Y109" s="19"/>
      <c r="Z109" s="29">
        <v>2.2919999999999998</v>
      </c>
      <c r="AA109" s="20"/>
      <c r="AB109" s="19">
        <v>51970.1</v>
      </c>
      <c r="AC109" s="20"/>
      <c r="AD109" s="19">
        <f>AB109</f>
        <v>51970.1</v>
      </c>
      <c r="AE109" s="19"/>
      <c r="AF109" s="19"/>
      <c r="AG109" s="19"/>
      <c r="AH109" s="75"/>
      <c r="AI109" s="19"/>
      <c r="AJ109" s="100"/>
      <c r="AK109" s="8"/>
      <c r="AL109" s="8"/>
    </row>
    <row r="110" spans="1:38" s="23" customFormat="1" ht="28.5" customHeight="1">
      <c r="A110" s="157" t="s">
        <v>123</v>
      </c>
      <c r="B110" s="158"/>
      <c r="C110" s="158"/>
      <c r="D110" s="117"/>
      <c r="E110" s="13">
        <f>SUM(E107:E109)</f>
        <v>22.843</v>
      </c>
      <c r="F110" s="13"/>
      <c r="G110" s="119">
        <f>SUM(G107:G109)</f>
        <v>501200.04862999998</v>
      </c>
      <c r="H110" s="13" t="e">
        <f>SUM(#REF!)</f>
        <v>#REF!</v>
      </c>
      <c r="I110" s="14" t="e">
        <f>SUM(#REF!)</f>
        <v>#REF!</v>
      </c>
      <c r="J110" s="14" t="e">
        <f>SUM(#REF!)</f>
        <v>#REF!</v>
      </c>
      <c r="K110" s="14"/>
      <c r="L110" s="13" t="e">
        <f>SUM(#REF!)</f>
        <v>#REF!</v>
      </c>
      <c r="M110" s="14" t="e">
        <f>SUM(#REF!)</f>
        <v>#REF!</v>
      </c>
      <c r="N110" s="14" t="e">
        <f>SUM(#REF!)</f>
        <v>#REF!</v>
      </c>
      <c r="O110" s="14" t="e">
        <f>SUM(#REF!)</f>
        <v>#REF!</v>
      </c>
      <c r="P110" s="34">
        <f>SUM(P107:P109)</f>
        <v>0</v>
      </c>
      <c r="Q110" s="14">
        <f>SUM(Q107:Q109)</f>
        <v>0</v>
      </c>
      <c r="R110" s="14">
        <f>SUM(R107:R109)</f>
        <v>0</v>
      </c>
      <c r="S110" s="119">
        <f>SUM(S107:S109)</f>
        <v>0</v>
      </c>
      <c r="T110" s="13">
        <f>SUM(T107:T109)</f>
        <v>18.911999999999999</v>
      </c>
      <c r="U110" s="119"/>
      <c r="V110" s="119">
        <f>SUM(V107:V109)</f>
        <v>407751.71727000002</v>
      </c>
      <c r="W110" s="119"/>
      <c r="X110" s="119">
        <f>SUM(X107:X109)</f>
        <v>407751.71727000002</v>
      </c>
      <c r="Y110" s="119"/>
      <c r="Z110" s="119">
        <f>SUM(Z108:Z109)</f>
        <v>3.931</v>
      </c>
      <c r="AA110" s="13"/>
      <c r="AB110" s="119">
        <f>SUM(AB108:AB109)</f>
        <v>93448.331359999996</v>
      </c>
      <c r="AC110" s="119">
        <f>SUM(AC108:AC109)</f>
        <v>39819.102105599995</v>
      </c>
      <c r="AD110" s="119">
        <f>SUM(AD107:AD109)</f>
        <v>53629.229254400001</v>
      </c>
      <c r="AE110" s="119"/>
      <c r="AF110" s="119"/>
      <c r="AG110" s="119" t="s">
        <v>19</v>
      </c>
      <c r="AH110" s="74"/>
      <c r="AI110" s="119"/>
      <c r="AJ110" s="99"/>
      <c r="AK110" s="8"/>
      <c r="AL110" s="8"/>
    </row>
    <row r="111" spans="1:38" s="23" customFormat="1" ht="25.5" customHeight="1">
      <c r="A111" s="159" t="s">
        <v>36</v>
      </c>
      <c r="B111" s="146"/>
      <c r="C111" s="146"/>
      <c r="D111" s="146"/>
      <c r="E111" s="146"/>
      <c r="F111" s="115"/>
      <c r="G111" s="119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9"/>
      <c r="V111" s="19"/>
      <c r="W111" s="19"/>
      <c r="X111" s="19"/>
      <c r="Y111" s="19"/>
      <c r="Z111" s="19"/>
      <c r="AA111" s="17"/>
      <c r="AB111" s="19"/>
      <c r="AC111" s="19"/>
      <c r="AD111" s="19"/>
      <c r="AE111" s="19"/>
      <c r="AF111" s="19"/>
      <c r="AG111" s="19"/>
      <c r="AH111" s="75"/>
      <c r="AI111" s="19"/>
      <c r="AJ111" s="100"/>
      <c r="AK111" s="8"/>
      <c r="AL111" s="8"/>
    </row>
    <row r="112" spans="1:38" s="23" customFormat="1" ht="30" customHeight="1">
      <c r="A112" s="69">
        <v>32</v>
      </c>
      <c r="B112" s="30" t="s">
        <v>150</v>
      </c>
      <c r="C112" s="17" t="s">
        <v>17</v>
      </c>
      <c r="D112" s="17"/>
      <c r="E112" s="29">
        <v>3.23</v>
      </c>
      <c r="F112" s="115"/>
      <c r="G112" s="19">
        <v>85329.787089999998</v>
      </c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29">
        <f>E112</f>
        <v>3.23</v>
      </c>
      <c r="U112" s="19"/>
      <c r="V112" s="19">
        <f>G112</f>
        <v>85329.787089999998</v>
      </c>
      <c r="W112" s="19"/>
      <c r="X112" s="19">
        <f>V112</f>
        <v>85329.787089999998</v>
      </c>
      <c r="Y112" s="19"/>
      <c r="Z112" s="19"/>
      <c r="AA112" s="17"/>
      <c r="AB112" s="19"/>
      <c r="AC112" s="19"/>
      <c r="AD112" s="19"/>
      <c r="AE112" s="19"/>
      <c r="AF112" s="19"/>
      <c r="AG112" s="19"/>
      <c r="AH112" s="75"/>
      <c r="AI112" s="19"/>
      <c r="AJ112" s="100"/>
      <c r="AK112" s="8"/>
      <c r="AL112" s="8"/>
    </row>
    <row r="113" spans="1:38" s="23" customFormat="1" ht="27" customHeight="1">
      <c r="A113" s="70"/>
      <c r="B113" s="16" t="s">
        <v>57</v>
      </c>
      <c r="C113" s="17"/>
      <c r="D113" s="17"/>
      <c r="E113" s="29">
        <f>T113+Z113</f>
        <v>12.965999999999999</v>
      </c>
      <c r="F113" s="29"/>
      <c r="G113" s="19">
        <f>V113+AB113</f>
        <v>174458.2</v>
      </c>
      <c r="H113" s="21"/>
      <c r="I113" s="22"/>
      <c r="J113" s="22"/>
      <c r="K113" s="22"/>
      <c r="L113" s="27"/>
      <c r="M113" s="28"/>
      <c r="N113" s="22"/>
      <c r="O113" s="22"/>
      <c r="P113" s="20"/>
      <c r="Q113" s="22"/>
      <c r="R113" s="22"/>
      <c r="S113" s="22"/>
      <c r="T113" s="20">
        <v>9.4879999999999995</v>
      </c>
      <c r="U113" s="19"/>
      <c r="V113" s="19">
        <v>132500</v>
      </c>
      <c r="W113" s="19"/>
      <c r="X113" s="19">
        <f>V113</f>
        <v>132500</v>
      </c>
      <c r="Y113" s="19"/>
      <c r="Z113" s="20">
        <v>3.4779999999999998</v>
      </c>
      <c r="AA113" s="113"/>
      <c r="AB113" s="19">
        <v>41958.2</v>
      </c>
      <c r="AC113" s="19"/>
      <c r="AD113" s="19">
        <f>AB113</f>
        <v>41958.2</v>
      </c>
      <c r="AE113" s="19"/>
      <c r="AF113" s="19"/>
      <c r="AG113" s="19"/>
      <c r="AH113" s="75"/>
      <c r="AI113" s="19"/>
      <c r="AJ113" s="100"/>
      <c r="AK113" s="8"/>
      <c r="AL113" s="8"/>
    </row>
    <row r="114" spans="1:38" s="23" customFormat="1" ht="24.75" customHeight="1">
      <c r="A114" s="157" t="s">
        <v>124</v>
      </c>
      <c r="B114" s="158"/>
      <c r="C114" s="158"/>
      <c r="D114" s="117"/>
      <c r="E114" s="119">
        <f>SUM(E112:E113)</f>
        <v>16.195999999999998</v>
      </c>
      <c r="F114" s="119"/>
      <c r="G114" s="119">
        <f>SUM(G112:G113)</f>
        <v>259787.98709000001</v>
      </c>
      <c r="H114" s="13" t="e">
        <f>SUM(#REF!)</f>
        <v>#REF!</v>
      </c>
      <c r="I114" s="14" t="e">
        <f>SUM(#REF!)</f>
        <v>#REF!</v>
      </c>
      <c r="J114" s="14" t="e">
        <f>SUM(#REF!)</f>
        <v>#REF!</v>
      </c>
      <c r="K114" s="14"/>
      <c r="L114" s="13" t="e">
        <f>SUM(#REF!)</f>
        <v>#REF!</v>
      </c>
      <c r="M114" s="14" t="e">
        <f>SUM(#REF!)</f>
        <v>#REF!</v>
      </c>
      <c r="N114" s="14" t="e">
        <f>SUM(#REF!)</f>
        <v>#REF!</v>
      </c>
      <c r="O114" s="14"/>
      <c r="P114" s="119" t="e">
        <f>SUM(#REF!)</f>
        <v>#REF!</v>
      </c>
      <c r="Q114" s="14" t="e">
        <f>SUM(#REF!)</f>
        <v>#REF!</v>
      </c>
      <c r="R114" s="14" t="e">
        <f>SUM(#REF!)</f>
        <v>#REF!</v>
      </c>
      <c r="S114" s="14"/>
      <c r="T114" s="119">
        <f>SUM(T112:T113)</f>
        <v>12.718</v>
      </c>
      <c r="U114" s="119"/>
      <c r="V114" s="119">
        <f>SUM(V112:V113)</f>
        <v>217829.78709</v>
      </c>
      <c r="W114" s="119">
        <f>SUM(W113:W113)</f>
        <v>0</v>
      </c>
      <c r="X114" s="119">
        <f>SUM(X112:X113)</f>
        <v>217829.78709</v>
      </c>
      <c r="Y114" s="119"/>
      <c r="Z114" s="119">
        <f>SUM(Z112:Z113)</f>
        <v>3.4779999999999998</v>
      </c>
      <c r="AA114" s="119"/>
      <c r="AB114" s="119">
        <f>SUM(AB112:AB113)</f>
        <v>41958.2</v>
      </c>
      <c r="AC114" s="119">
        <f>SUM(AC112:AC113)</f>
        <v>0</v>
      </c>
      <c r="AD114" s="119">
        <f>SUM(AD112:AD113)</f>
        <v>41958.2</v>
      </c>
      <c r="AE114" s="119"/>
      <c r="AF114" s="119"/>
      <c r="AG114" s="119"/>
      <c r="AH114" s="74"/>
      <c r="AI114" s="119"/>
      <c r="AJ114" s="99"/>
      <c r="AK114" s="8"/>
      <c r="AL114" s="8"/>
    </row>
    <row r="115" spans="1:38" s="23" customFormat="1" ht="27" hidden="1" customHeight="1">
      <c r="A115" s="116"/>
      <c r="B115" s="114" t="s">
        <v>65</v>
      </c>
      <c r="C115" s="32"/>
      <c r="D115" s="32"/>
      <c r="E115" s="21"/>
      <c r="F115" s="21"/>
      <c r="G115" s="19"/>
      <c r="H115" s="19"/>
      <c r="I115" s="22"/>
      <c r="J115" s="22"/>
      <c r="K115" s="22"/>
      <c r="L115" s="35"/>
      <c r="M115" s="22"/>
      <c r="N115" s="22"/>
      <c r="O115" s="22"/>
      <c r="P115" s="19"/>
      <c r="Q115" s="22"/>
      <c r="R115" s="22"/>
      <c r="S115" s="22"/>
      <c r="T115" s="20"/>
      <c r="U115" s="24"/>
      <c r="V115" s="19"/>
      <c r="W115" s="19"/>
      <c r="X115" s="19"/>
      <c r="Y115" s="19"/>
      <c r="Z115" s="22"/>
      <c r="AA115" s="19"/>
      <c r="AB115" s="24"/>
      <c r="AC115" s="24"/>
      <c r="AD115" s="24"/>
      <c r="AE115" s="24"/>
      <c r="AF115" s="24"/>
      <c r="AG115" s="22"/>
      <c r="AH115" s="76"/>
      <c r="AI115" s="22"/>
      <c r="AJ115" s="101"/>
    </row>
    <row r="116" spans="1:38" s="23" customFormat="1" ht="29.25" hidden="1" customHeight="1">
      <c r="A116" s="116"/>
      <c r="B116" s="16" t="s">
        <v>57</v>
      </c>
      <c r="C116" s="32"/>
      <c r="D116" s="32"/>
      <c r="E116" s="29"/>
      <c r="F116" s="29"/>
      <c r="G116" s="19"/>
      <c r="H116" s="19"/>
      <c r="I116" s="22"/>
      <c r="J116" s="22"/>
      <c r="K116" s="22"/>
      <c r="L116" s="35"/>
      <c r="M116" s="22"/>
      <c r="N116" s="22"/>
      <c r="O116" s="22"/>
      <c r="P116" s="19"/>
      <c r="Q116" s="22"/>
      <c r="R116" s="22"/>
      <c r="S116" s="22"/>
      <c r="T116" s="20"/>
      <c r="U116" s="24"/>
      <c r="V116" s="19"/>
      <c r="W116" s="19"/>
      <c r="X116" s="19"/>
      <c r="Y116" s="19"/>
      <c r="Z116" s="22"/>
      <c r="AA116" s="19"/>
      <c r="AB116" s="24"/>
      <c r="AC116" s="24"/>
      <c r="AD116" s="24"/>
      <c r="AE116" s="24"/>
      <c r="AF116" s="24"/>
      <c r="AG116" s="22"/>
      <c r="AH116" s="76"/>
      <c r="AI116" s="22"/>
      <c r="AJ116" s="101"/>
    </row>
    <row r="117" spans="1:38" s="23" customFormat="1" ht="34.5" hidden="1" customHeight="1">
      <c r="A117" s="157" t="s">
        <v>135</v>
      </c>
      <c r="B117" s="158"/>
      <c r="C117" s="158"/>
      <c r="D117" s="32"/>
      <c r="E117" s="57">
        <f>SUM(E116)</f>
        <v>0</v>
      </c>
      <c r="F117" s="57"/>
      <c r="G117" s="119">
        <f>SUM(G116)</f>
        <v>0</v>
      </c>
      <c r="H117" s="19"/>
      <c r="I117" s="22"/>
      <c r="J117" s="22"/>
      <c r="K117" s="22"/>
      <c r="L117" s="35"/>
      <c r="M117" s="22"/>
      <c r="N117" s="22"/>
      <c r="O117" s="22"/>
      <c r="P117" s="19"/>
      <c r="Q117" s="22"/>
      <c r="R117" s="22"/>
      <c r="S117" s="22"/>
      <c r="T117" s="58">
        <f>SUM(T116)</f>
        <v>0</v>
      </c>
      <c r="U117" s="57"/>
      <c r="V117" s="119">
        <f>SUM(V116)</f>
        <v>0</v>
      </c>
      <c r="W117" s="24"/>
      <c r="X117" s="119">
        <f>SUM(X116)</f>
        <v>0</v>
      </c>
      <c r="Y117" s="119"/>
      <c r="Z117" s="22"/>
      <c r="AA117" s="19"/>
      <c r="AB117" s="24"/>
      <c r="AC117" s="24"/>
      <c r="AD117" s="24"/>
      <c r="AE117" s="24"/>
      <c r="AF117" s="24"/>
      <c r="AG117" s="22"/>
      <c r="AH117" s="76"/>
      <c r="AI117" s="22"/>
      <c r="AJ117" s="101"/>
    </row>
    <row r="118" spans="1:38" s="23" customFormat="1" ht="25.5" customHeight="1">
      <c r="A118" s="116"/>
      <c r="B118" s="16" t="s">
        <v>66</v>
      </c>
      <c r="C118" s="32"/>
      <c r="D118" s="32"/>
      <c r="E118" s="21"/>
      <c r="F118" s="21"/>
      <c r="G118" s="19">
        <f>V118</f>
        <v>3.1999999999534339</v>
      </c>
      <c r="H118" s="19"/>
      <c r="I118" s="22"/>
      <c r="J118" s="22"/>
      <c r="K118" s="22"/>
      <c r="L118" s="35"/>
      <c r="M118" s="22"/>
      <c r="N118" s="22"/>
      <c r="O118" s="22"/>
      <c r="P118" s="19"/>
      <c r="Q118" s="22"/>
      <c r="R118" s="22"/>
      <c r="S118" s="22"/>
      <c r="T118" s="20"/>
      <c r="U118" s="24"/>
      <c r="V118" s="19">
        <f>W118+X118</f>
        <v>3.1999999999534339</v>
      </c>
      <c r="W118" s="19">
        <f>1756093.2-1756090</f>
        <v>3.1999999999534339</v>
      </c>
      <c r="X118" s="19"/>
      <c r="Y118" s="19"/>
      <c r="Z118" s="22"/>
      <c r="AA118" s="19"/>
      <c r="AB118" s="24"/>
      <c r="AC118" s="24"/>
      <c r="AD118" s="24"/>
      <c r="AE118" s="24"/>
      <c r="AF118" s="24"/>
      <c r="AG118" s="22"/>
      <c r="AH118" s="76"/>
      <c r="AI118" s="22"/>
      <c r="AJ118" s="101"/>
    </row>
    <row r="119" spans="1:38" s="36" customFormat="1" ht="39.75" hidden="1" customHeight="1">
      <c r="A119" s="65"/>
      <c r="B119" s="160" t="s">
        <v>126</v>
      </c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52"/>
      <c r="AJ119" s="98"/>
    </row>
    <row r="120" spans="1:38" s="36" customFormat="1" ht="48" customHeight="1">
      <c r="A120" s="65">
        <v>3</v>
      </c>
      <c r="B120" s="48" t="s">
        <v>127</v>
      </c>
      <c r="C120" s="52"/>
      <c r="D120" s="52"/>
      <c r="E120" s="52"/>
      <c r="F120" s="61">
        <f>F129+F131+F132+F137+F138+F134+F141+F142+F144+F146+F148+F149+F151+F153+F155+F156+F157+F158+F159+F160+F162+F164</f>
        <v>1480.5200000000002</v>
      </c>
      <c r="G120" s="61">
        <f>G129+G131+G132+G137+G138+G134+G141+G142+G144+G146+G148+G149+G151+G153+G155+G156+G157+G158+G159+G160+G162+G164</f>
        <v>1822023.4556408506</v>
      </c>
      <c r="H120" s="61" t="e">
        <f>H129+#REF!+H137+H138+H148+H155+H156+H157+H158+H159+H162+H164</f>
        <v>#REF!</v>
      </c>
      <c r="I120" s="61" t="e">
        <f>I129+#REF!+I137+I138+I148+I155+I156+I157+I158+I159+I162+I164</f>
        <v>#REF!</v>
      </c>
      <c r="J120" s="61" t="e">
        <f>J129+#REF!+J137+J138+J148+J155+J156+J157+J158+J159+J162+J164</f>
        <v>#REF!</v>
      </c>
      <c r="K120" s="61" t="e">
        <f>K129+#REF!+K137+K138+K148+K155+K156+K157+K158+K159+K162+K164</f>
        <v>#REF!</v>
      </c>
      <c r="L120" s="61" t="e">
        <f>L129+#REF!+L137+L138+L148+L155+L156+L157+L158+L159+L162+L164</f>
        <v>#REF!</v>
      </c>
      <c r="M120" s="61" t="e">
        <f>M129+#REF!+M137+M138+M148+M155+M156+M157+M158+M159+M162+M164</f>
        <v>#REF!</v>
      </c>
      <c r="N120" s="61" t="e">
        <f>N129+#REF!+N137+N138+N148+N155+N156+N157+N158+N159+N162+N164</f>
        <v>#REF!</v>
      </c>
      <c r="O120" s="61" t="e">
        <f>O129+#REF!+O137+O138+O148+O155+O156+O157+O158+O159+O162+O164</f>
        <v>#REF!</v>
      </c>
      <c r="P120" s="61" t="e">
        <f>P129+#REF!+P137+P138+P148+P155+P156+P157+P158+P159+P162+P164</f>
        <v>#REF!</v>
      </c>
      <c r="Q120" s="61" t="e">
        <f>Q129+#REF!+Q137+Q138+Q148+Q155+Q156+Q157+Q158+Q159+Q162+Q164</f>
        <v>#REF!</v>
      </c>
      <c r="R120" s="61" t="e">
        <f>R129+#REF!+R137+R138+R148+R155+R156+R157+R158+R159+R162+R164</f>
        <v>#REF!</v>
      </c>
      <c r="S120" s="61" t="e">
        <f>S129+#REF!+S137+S138+S148+S155+S156+S157+S158+S159+S162+S164</f>
        <v>#REF!</v>
      </c>
      <c r="T120" s="61"/>
      <c r="U120" s="61">
        <f>U137+U138+U148+U155+U156+U157+U158+U159+U162+U164</f>
        <v>833.83999999999992</v>
      </c>
      <c r="V120" s="61">
        <f>V137+V138+V148+V155+V156+V157+V158+V159+V162+V164</f>
        <v>609235.95742999995</v>
      </c>
      <c r="W120" s="61"/>
      <c r="X120" s="61">
        <f>X137+X138+X148+X155+X156+X157+X158+X159+X162+X164+0.01</f>
        <v>589255.35742999997</v>
      </c>
      <c r="Y120" s="61">
        <f>Y137+Y138+Y148+Y155+Y156+Y157+Y158+Y159+Y162+Y164</f>
        <v>19980.609999999997</v>
      </c>
      <c r="Z120" s="61"/>
      <c r="AA120" s="61">
        <f>AA129+AA134+AA135+AA139+AA141+AA144+AA146+AA149+AA151+AA153</f>
        <v>772.38000000000011</v>
      </c>
      <c r="AB120" s="61">
        <f>AB129+AB134+AB135+AB139+AB141+AB144+AB146+AB149+AB151+AB153</f>
        <v>1071266.6140008506</v>
      </c>
      <c r="AC120" s="61"/>
      <c r="AD120" s="61">
        <f t="shared" ref="AD120:AE120" si="45">AD129+AD134+AD135+AD139+AD141+AD144+AD146+AD149+AD151+AD153</f>
        <v>1043666.2171608505</v>
      </c>
      <c r="AE120" s="61">
        <f t="shared" si="45"/>
        <v>27600.396840000001</v>
      </c>
      <c r="AF120" s="52"/>
      <c r="AG120" s="52"/>
      <c r="AH120" s="77"/>
      <c r="AI120" s="62"/>
      <c r="AJ120" s="102"/>
    </row>
    <row r="121" spans="1:38" s="36" customFormat="1" ht="20.25" customHeight="1">
      <c r="A121" s="65"/>
      <c r="B121" s="55" t="s">
        <v>11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118"/>
      <c r="AI121" s="52"/>
      <c r="AJ121" s="98"/>
    </row>
    <row r="122" spans="1:38" s="36" customFormat="1" ht="26.25" customHeight="1">
      <c r="A122" s="65"/>
      <c r="B122" s="48" t="s">
        <v>136</v>
      </c>
      <c r="C122" s="52"/>
      <c r="D122" s="52"/>
      <c r="E122" s="52"/>
      <c r="F122" s="61">
        <f>F131+F132+F138+F134+F141+F142+F144+F146+F148+F149+F153+F156+F157+F158+F159+F160+F162</f>
        <v>933.6099999999999</v>
      </c>
      <c r="G122" s="61">
        <f>G131+G132+G138+G134+G141+G142+G144+G146+G148+G149+G153+G156+G157+G158+G159+G160+G162</f>
        <v>963540.33164085075</v>
      </c>
      <c r="H122" s="61" t="e">
        <f>#REF!+H138+H148+H156+H157+H158+H159+H162</f>
        <v>#REF!</v>
      </c>
      <c r="I122" s="61" t="e">
        <f>#REF!+I138+I148+I156+I157+I158+I159+I162</f>
        <v>#REF!</v>
      </c>
      <c r="J122" s="61" t="e">
        <f>#REF!+J138+J148+J156+J157+J158+J159+J162</f>
        <v>#REF!</v>
      </c>
      <c r="K122" s="61" t="e">
        <f>#REF!+K138+K148+K156+K157+K158+K159+K162</f>
        <v>#REF!</v>
      </c>
      <c r="L122" s="61" t="e">
        <f>#REF!+L138+L148+L156+L157+L158+L159+L162</f>
        <v>#REF!</v>
      </c>
      <c r="M122" s="61" t="e">
        <f>#REF!+M138+M148+M156+M157+M158+M159+M162</f>
        <v>#REF!</v>
      </c>
      <c r="N122" s="61" t="e">
        <f>#REF!+N138+N148+N156+N157+N158+N159+N162</f>
        <v>#REF!</v>
      </c>
      <c r="O122" s="61" t="e">
        <f>#REF!+O138+O148+O156+O157+O158+O159+O162</f>
        <v>#REF!</v>
      </c>
      <c r="P122" s="61" t="e">
        <f>#REF!+P138+P148+P156+P157+P158+P159+P162</f>
        <v>#REF!</v>
      </c>
      <c r="Q122" s="61" t="e">
        <f>#REF!+Q138+Q148+Q156+Q157+Q158+Q159+Q162</f>
        <v>#REF!</v>
      </c>
      <c r="R122" s="61" t="e">
        <f>#REF!+R138+R148+R156+R157+R158+R159+R162</f>
        <v>#REF!</v>
      </c>
      <c r="S122" s="61" t="e">
        <f>#REF!+S138+S148+S156+S157+S158+S159+S162</f>
        <v>#REF!</v>
      </c>
      <c r="T122" s="61"/>
      <c r="U122" s="61">
        <f>U138+U148+U156+U157+U158+U159+U162</f>
        <v>565.01</v>
      </c>
      <c r="V122" s="61">
        <f>V138+V148+V156+V157+V158+V159+V162+0.01</f>
        <v>304572.05742999999</v>
      </c>
      <c r="W122" s="61"/>
      <c r="X122" s="61">
        <f>X138+X148+X156+X157+X158+X159+X162+0.01</f>
        <v>304572.05742999999</v>
      </c>
      <c r="Y122" s="61"/>
      <c r="Z122" s="61"/>
      <c r="AA122" s="61">
        <f>AA134+AA135+AA139+AA141+AA144+AA146+AA149+AA153</f>
        <v>494.29999999999995</v>
      </c>
      <c r="AB122" s="61">
        <f>AB134+AB135+AB139+AB141+AB144+AB146+AB149+AB153</f>
        <v>611260.00000085053</v>
      </c>
      <c r="AC122" s="61"/>
      <c r="AD122" s="61">
        <f>AD134+AD135+AD139+AD141+AD144+AD146+AD149+AD153</f>
        <v>611260.00000085053</v>
      </c>
      <c r="AE122" s="61"/>
      <c r="AF122" s="52"/>
      <c r="AG122" s="52"/>
      <c r="AH122" s="118"/>
      <c r="AI122" s="52"/>
      <c r="AJ122" s="98"/>
    </row>
    <row r="123" spans="1:38" s="36" customFormat="1" ht="28.5" customHeight="1">
      <c r="A123" s="65"/>
      <c r="B123" s="55" t="s">
        <v>103</v>
      </c>
      <c r="C123" s="52"/>
      <c r="D123" s="52"/>
      <c r="E123" s="52"/>
      <c r="F123" s="73">
        <f>F131+F141+F142</f>
        <v>70.900000000000006</v>
      </c>
      <c r="G123" s="73">
        <f>G131+G141+G142</f>
        <v>240000</v>
      </c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73"/>
      <c r="V123" s="73"/>
      <c r="W123" s="61"/>
      <c r="X123" s="61"/>
      <c r="Y123" s="61"/>
      <c r="Z123" s="61"/>
      <c r="AA123" s="73">
        <f>AA134+AA141</f>
        <v>144.69999999999999</v>
      </c>
      <c r="AB123" s="73">
        <f>AB134+AB141</f>
        <v>431260.00000085053</v>
      </c>
      <c r="AC123" s="61"/>
      <c r="AD123" s="73">
        <f>AD134+AD141</f>
        <v>431260.00000085053</v>
      </c>
      <c r="AE123" s="73"/>
      <c r="AF123" s="52"/>
      <c r="AG123" s="52"/>
      <c r="AH123" s="118"/>
      <c r="AI123" s="52"/>
      <c r="AJ123" s="98"/>
    </row>
    <row r="124" spans="1:38" s="36" customFormat="1" ht="24.75" customHeight="1">
      <c r="A124" s="65"/>
      <c r="B124" s="55" t="s">
        <v>104</v>
      </c>
      <c r="C124" s="52"/>
      <c r="D124" s="52"/>
      <c r="E124" s="52"/>
      <c r="F124" s="73">
        <f>F122-F123</f>
        <v>862.70999999999992</v>
      </c>
      <c r="G124" s="73">
        <f>G122-G123</f>
        <v>723540.33164085075</v>
      </c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73">
        <f>U122-U123</f>
        <v>565.01</v>
      </c>
      <c r="V124" s="73">
        <f>V122-V123</f>
        <v>304572.05742999999</v>
      </c>
      <c r="W124" s="61"/>
      <c r="X124" s="73">
        <f>X122-X123</f>
        <v>304572.05742999999</v>
      </c>
      <c r="Y124" s="61"/>
      <c r="Z124" s="61"/>
      <c r="AA124" s="73">
        <f>AA122-AA123</f>
        <v>349.59999999999997</v>
      </c>
      <c r="AB124" s="73">
        <f>AB122-AB123</f>
        <v>180000</v>
      </c>
      <c r="AC124" s="61"/>
      <c r="AD124" s="73">
        <f>AD122-AD123</f>
        <v>180000</v>
      </c>
      <c r="AE124" s="61"/>
      <c r="AF124" s="52"/>
      <c r="AG124" s="52"/>
      <c r="AH124" s="118"/>
      <c r="AI124" s="52"/>
      <c r="AJ124" s="98"/>
    </row>
    <row r="125" spans="1:38" s="36" customFormat="1" ht="28.5" customHeight="1">
      <c r="A125" s="65"/>
      <c r="B125" s="48" t="s">
        <v>137</v>
      </c>
      <c r="C125" s="52"/>
      <c r="D125" s="52"/>
      <c r="E125" s="52"/>
      <c r="F125" s="61">
        <f>F129+F137+F151+F155+F164</f>
        <v>546.91</v>
      </c>
      <c r="G125" s="61">
        <f>G129+G137+G151+G155+G164</f>
        <v>858483.12399999995</v>
      </c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61">
        <f>U137+U155+U164</f>
        <v>268.83000000000004</v>
      </c>
      <c r="V125" s="61">
        <f>V137+V155+V164</f>
        <v>304663.90999999997</v>
      </c>
      <c r="W125" s="61"/>
      <c r="X125" s="61">
        <f>X137+X155+X164</f>
        <v>284683.3</v>
      </c>
      <c r="Y125" s="61">
        <f>Y137+Y155+Y164</f>
        <v>19980.609999999997</v>
      </c>
      <c r="Z125" s="52"/>
      <c r="AA125" s="61">
        <f>AA129+AA151</f>
        <v>278.08</v>
      </c>
      <c r="AB125" s="61">
        <f>AB129+AB151</f>
        <v>460006.614</v>
      </c>
      <c r="AC125" s="61"/>
      <c r="AD125" s="61">
        <f>AD129+AD151</f>
        <v>432406.21716</v>
      </c>
      <c r="AE125" s="61">
        <f>SUM(AE129:AE164)</f>
        <v>27600.396840000001</v>
      </c>
      <c r="AF125" s="52"/>
      <c r="AG125" s="62"/>
      <c r="AH125" s="118"/>
      <c r="AI125" s="52"/>
      <c r="AJ125" s="98"/>
    </row>
    <row r="126" spans="1:38" s="36" customFormat="1" ht="27.75" customHeight="1">
      <c r="A126" s="65"/>
      <c r="B126" s="55" t="s">
        <v>103</v>
      </c>
      <c r="C126" s="52"/>
      <c r="D126" s="52"/>
      <c r="E126" s="52"/>
      <c r="F126" s="73">
        <f>F137+ F151</f>
        <v>336.96000000000004</v>
      </c>
      <c r="G126" s="73">
        <f>G137+ G151</f>
        <v>521559.9</v>
      </c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73">
        <f>U137</f>
        <v>120.68</v>
      </c>
      <c r="V126" s="73">
        <f>V137</f>
        <v>105208.8</v>
      </c>
      <c r="W126" s="61"/>
      <c r="X126" s="73">
        <f t="shared" ref="X126:Y126" si="46">X137</f>
        <v>98896.3</v>
      </c>
      <c r="Y126" s="73">
        <f t="shared" si="46"/>
        <v>6312.5</v>
      </c>
      <c r="Z126" s="52"/>
      <c r="AA126" s="73">
        <f>AA137+ AA151</f>
        <v>216.28</v>
      </c>
      <c r="AB126" s="73">
        <f>AB137+ AB151</f>
        <v>375000</v>
      </c>
      <c r="AC126" s="61"/>
      <c r="AD126" s="73">
        <f t="shared" ref="AD126:AE126" si="47">AD137+ AD151</f>
        <v>352500</v>
      </c>
      <c r="AE126" s="73">
        <f t="shared" si="47"/>
        <v>22500</v>
      </c>
      <c r="AF126" s="52"/>
      <c r="AG126" s="62"/>
      <c r="AH126" s="118"/>
      <c r="AI126" s="52"/>
      <c r="AJ126" s="98"/>
    </row>
    <row r="127" spans="1:38" s="36" customFormat="1" ht="25.5" customHeight="1">
      <c r="A127" s="65"/>
      <c r="B127" s="55" t="s">
        <v>104</v>
      </c>
      <c r="C127" s="52"/>
      <c r="D127" s="52"/>
      <c r="E127" s="52"/>
      <c r="F127" s="73">
        <f>F125-F126</f>
        <v>209.94999999999993</v>
      </c>
      <c r="G127" s="73">
        <f>G125-G126</f>
        <v>336923.22399999993</v>
      </c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73">
        <f>U125-U126</f>
        <v>148.15000000000003</v>
      </c>
      <c r="V127" s="73">
        <f>V125-V126</f>
        <v>199455.11</v>
      </c>
      <c r="W127" s="61"/>
      <c r="X127" s="73">
        <f t="shared" ref="X127:Y127" si="48">X125-X126</f>
        <v>185787</v>
      </c>
      <c r="Y127" s="73">
        <f t="shared" si="48"/>
        <v>13668.109999999997</v>
      </c>
      <c r="Z127" s="52"/>
      <c r="AA127" s="73">
        <f>AA125-AA126</f>
        <v>61.799999999999983</v>
      </c>
      <c r="AB127" s="73">
        <f>AB125-AB126</f>
        <v>85006.614000000001</v>
      </c>
      <c r="AC127" s="61"/>
      <c r="AD127" s="73">
        <f t="shared" ref="AD127:AE127" si="49">AD125-AD126</f>
        <v>79906.21716</v>
      </c>
      <c r="AE127" s="73">
        <f t="shared" si="49"/>
        <v>5100.3968400000012</v>
      </c>
      <c r="AF127" s="52"/>
      <c r="AG127" s="62"/>
      <c r="AH127" s="118"/>
      <c r="AI127" s="52"/>
      <c r="AJ127" s="98"/>
    </row>
    <row r="128" spans="1:38" s="36" customFormat="1" ht="28.5" customHeight="1">
      <c r="A128" s="165" t="s">
        <v>16</v>
      </c>
      <c r="B128" s="166"/>
      <c r="C128" s="52"/>
      <c r="D128" s="52"/>
      <c r="E128" s="52"/>
      <c r="F128" s="52"/>
      <c r="G128" s="119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119"/>
      <c r="W128" s="119"/>
      <c r="X128" s="119"/>
      <c r="Y128" s="119"/>
      <c r="Z128" s="52"/>
      <c r="AA128" s="14"/>
      <c r="AB128" s="119"/>
      <c r="AC128" s="119"/>
      <c r="AD128" s="119"/>
      <c r="AE128" s="119"/>
      <c r="AF128" s="52"/>
      <c r="AG128" s="52"/>
      <c r="AH128" s="118"/>
      <c r="AI128" s="52"/>
      <c r="AJ128" s="98"/>
    </row>
    <row r="129" spans="1:36" s="36" customFormat="1" ht="45" customHeight="1">
      <c r="A129" s="69">
        <v>1</v>
      </c>
      <c r="B129" s="26" t="s">
        <v>76</v>
      </c>
      <c r="C129" s="52"/>
      <c r="D129" s="52"/>
      <c r="E129" s="52"/>
      <c r="F129" s="19">
        <v>61.8</v>
      </c>
      <c r="G129" s="19">
        <v>85006.614000000001</v>
      </c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119"/>
      <c r="W129" s="119"/>
      <c r="X129" s="119"/>
      <c r="Y129" s="119"/>
      <c r="Z129" s="52"/>
      <c r="AA129" s="19">
        <v>61.8</v>
      </c>
      <c r="AB129" s="19">
        <v>85006.614000000001</v>
      </c>
      <c r="AC129" s="119"/>
      <c r="AD129" s="19">
        <f>AB129-AE129</f>
        <v>79906.21716</v>
      </c>
      <c r="AE129" s="19">
        <f>AB129*0.06</f>
        <v>5100.3968400000003</v>
      </c>
      <c r="AF129" s="52"/>
      <c r="AG129" s="52"/>
      <c r="AH129" s="118"/>
      <c r="AI129" s="52"/>
      <c r="AJ129" s="98"/>
    </row>
    <row r="130" spans="1:36" s="36" customFormat="1" ht="37.5" hidden="1" customHeight="1">
      <c r="A130" s="165" t="s">
        <v>18</v>
      </c>
      <c r="B130" s="166"/>
      <c r="C130" s="52"/>
      <c r="D130" s="52"/>
      <c r="E130" s="52"/>
      <c r="F130" s="52"/>
      <c r="G130" s="119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119"/>
      <c r="W130" s="119"/>
      <c r="X130" s="119"/>
      <c r="Y130" s="119"/>
      <c r="Z130" s="52"/>
      <c r="AA130" s="14"/>
      <c r="AB130" s="119"/>
      <c r="AC130" s="119"/>
      <c r="AD130" s="119"/>
      <c r="AE130" s="119"/>
      <c r="AF130" s="52"/>
      <c r="AG130" s="52"/>
      <c r="AH130" s="118"/>
      <c r="AI130" s="52"/>
      <c r="AJ130" s="98"/>
    </row>
    <row r="131" spans="1:36" s="36" customFormat="1" ht="63.75" hidden="1" customHeight="1">
      <c r="A131" s="69">
        <v>2</v>
      </c>
      <c r="B131" s="26" t="s">
        <v>95</v>
      </c>
      <c r="C131" s="52"/>
      <c r="D131" s="52"/>
      <c r="E131" s="52"/>
      <c r="F131" s="19"/>
      <c r="G131" s="19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119" t="s">
        <v>73</v>
      </c>
      <c r="W131" s="119" t="s">
        <v>19</v>
      </c>
      <c r="X131" s="119"/>
      <c r="Y131" s="119"/>
      <c r="Z131" s="52"/>
      <c r="AA131" s="19"/>
      <c r="AB131" s="19"/>
      <c r="AC131" s="119"/>
      <c r="AD131" s="19"/>
      <c r="AE131" s="119"/>
      <c r="AF131" s="52"/>
      <c r="AG131" s="52"/>
      <c r="AH131" s="118"/>
      <c r="AI131" s="52"/>
      <c r="AJ131" s="98"/>
    </row>
    <row r="132" spans="1:36" s="36" customFormat="1" ht="72.75" hidden="1" customHeight="1">
      <c r="A132" s="69">
        <v>3</v>
      </c>
      <c r="B132" s="26" t="s">
        <v>77</v>
      </c>
      <c r="C132" s="52"/>
      <c r="D132" s="52"/>
      <c r="E132" s="52"/>
      <c r="F132" s="19"/>
      <c r="G132" s="19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119" t="s">
        <v>0</v>
      </c>
      <c r="W132" s="119"/>
      <c r="X132" s="119"/>
      <c r="Y132" s="119"/>
      <c r="Z132" s="52"/>
      <c r="AA132" s="19"/>
      <c r="AB132" s="19"/>
      <c r="AC132" s="119"/>
      <c r="AD132" s="19"/>
      <c r="AE132" s="119"/>
      <c r="AF132" s="52"/>
      <c r="AG132" s="52"/>
      <c r="AH132" s="118"/>
      <c r="AI132" s="52"/>
      <c r="AJ132" s="98"/>
    </row>
    <row r="133" spans="1:36" s="36" customFormat="1" ht="27" customHeight="1">
      <c r="A133" s="165" t="s">
        <v>22</v>
      </c>
      <c r="B133" s="166"/>
      <c r="C133" s="52"/>
      <c r="D133" s="52"/>
      <c r="E133" s="52"/>
      <c r="F133" s="52"/>
      <c r="G133" s="119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119"/>
      <c r="W133" s="119"/>
      <c r="X133" s="119"/>
      <c r="Y133" s="119"/>
      <c r="Z133" s="52"/>
      <c r="AA133" s="14"/>
      <c r="AB133" s="119"/>
      <c r="AC133" s="119"/>
      <c r="AD133" s="119"/>
      <c r="AE133" s="119"/>
      <c r="AF133" s="52"/>
      <c r="AG133" s="52"/>
      <c r="AH133" s="118"/>
      <c r="AI133" s="52"/>
      <c r="AJ133" s="98"/>
    </row>
    <row r="134" spans="1:36" s="36" customFormat="1" ht="66.75" customHeight="1">
      <c r="A134" s="69">
        <v>2</v>
      </c>
      <c r="B134" s="26" t="s">
        <v>153</v>
      </c>
      <c r="C134" s="52"/>
      <c r="D134" s="52"/>
      <c r="E134" s="52"/>
      <c r="F134" s="19">
        <v>73.8</v>
      </c>
      <c r="G134" s="19">
        <v>191260.00000085056</v>
      </c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119"/>
      <c r="W134" s="119"/>
      <c r="X134" s="119"/>
      <c r="Y134" s="119"/>
      <c r="Z134" s="52"/>
      <c r="AA134" s="19">
        <f>F134</f>
        <v>73.8</v>
      </c>
      <c r="AB134" s="19">
        <f>G134</f>
        <v>191260.00000085056</v>
      </c>
      <c r="AC134" s="119"/>
      <c r="AD134" s="19">
        <f>AB134</f>
        <v>191260.00000085056</v>
      </c>
      <c r="AE134" s="119"/>
      <c r="AF134" s="52"/>
      <c r="AG134" s="52"/>
      <c r="AH134" s="118"/>
      <c r="AI134" s="52"/>
      <c r="AJ134" s="98"/>
    </row>
    <row r="135" spans="1:36" s="36" customFormat="1" ht="45" customHeight="1">
      <c r="A135" s="89">
        <v>3</v>
      </c>
      <c r="B135" s="26" t="s">
        <v>151</v>
      </c>
      <c r="C135" s="52"/>
      <c r="D135" s="52"/>
      <c r="E135" s="52"/>
      <c r="F135" s="19">
        <v>45.4</v>
      </c>
      <c r="G135" s="19">
        <v>20000</v>
      </c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119"/>
      <c r="W135" s="119"/>
      <c r="X135" s="119"/>
      <c r="Y135" s="119"/>
      <c r="Z135" s="52"/>
      <c r="AA135" s="19">
        <f>F135</f>
        <v>45.4</v>
      </c>
      <c r="AB135" s="19">
        <f>G135</f>
        <v>20000</v>
      </c>
      <c r="AC135" s="119"/>
      <c r="AD135" s="19">
        <f>AB135</f>
        <v>20000</v>
      </c>
      <c r="AE135" s="119"/>
      <c r="AF135" s="52"/>
      <c r="AG135" s="52"/>
      <c r="AH135" s="118"/>
      <c r="AI135" s="52"/>
      <c r="AJ135" s="98"/>
    </row>
    <row r="136" spans="1:36" s="36" customFormat="1" ht="32.25" customHeight="1">
      <c r="A136" s="165" t="s">
        <v>24</v>
      </c>
      <c r="B136" s="166"/>
      <c r="C136" s="50"/>
      <c r="D136" s="50"/>
      <c r="E136" s="50"/>
      <c r="F136" s="50"/>
      <c r="G136" s="50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19"/>
      <c r="U136" s="31"/>
      <c r="V136" s="119"/>
      <c r="W136" s="119"/>
      <c r="X136" s="119"/>
      <c r="Y136" s="119"/>
      <c r="Z136" s="14"/>
      <c r="AA136" s="14"/>
      <c r="AB136" s="14"/>
      <c r="AC136" s="14"/>
      <c r="AD136" s="14"/>
      <c r="AE136" s="14"/>
      <c r="AF136" s="14"/>
      <c r="AG136" s="14"/>
      <c r="AH136" s="78"/>
      <c r="AI136" s="14"/>
      <c r="AJ136" s="103"/>
    </row>
    <row r="137" spans="1:36" s="36" customFormat="1" ht="65.25" customHeight="1">
      <c r="A137" s="69">
        <v>4</v>
      </c>
      <c r="B137" s="26" t="s">
        <v>78</v>
      </c>
      <c r="C137" s="17"/>
      <c r="D137" s="50"/>
      <c r="E137" s="50"/>
      <c r="F137" s="19">
        <v>120.68</v>
      </c>
      <c r="G137" s="19">
        <v>146559.9</v>
      </c>
      <c r="H137" s="14">
        <v>146559.9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19"/>
      <c r="U137" s="19">
        <f>F137</f>
        <v>120.68</v>
      </c>
      <c r="V137" s="19">
        <f>X137+Y137</f>
        <v>105208.8</v>
      </c>
      <c r="W137" s="19"/>
      <c r="X137" s="59">
        <v>98896.3</v>
      </c>
      <c r="Y137" s="59">
        <v>6312.5</v>
      </c>
      <c r="Z137" s="14"/>
      <c r="AA137" s="14"/>
      <c r="AB137" s="14"/>
      <c r="AC137" s="14"/>
      <c r="AD137" s="14"/>
      <c r="AE137" s="14"/>
      <c r="AF137" s="14"/>
      <c r="AG137" s="14"/>
      <c r="AH137" s="78"/>
      <c r="AI137" s="14"/>
      <c r="AJ137" s="103"/>
    </row>
    <row r="138" spans="1:36" s="36" customFormat="1" ht="75.75" customHeight="1">
      <c r="A138" s="69">
        <v>5</v>
      </c>
      <c r="B138" s="26" t="s">
        <v>79</v>
      </c>
      <c r="C138" s="17"/>
      <c r="D138" s="50"/>
      <c r="E138" s="50"/>
      <c r="F138" s="19">
        <v>69.209999999999994</v>
      </c>
      <c r="G138" s="19">
        <v>63306.050089999997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19"/>
      <c r="U138" s="19">
        <f>F138</f>
        <v>69.209999999999994</v>
      </c>
      <c r="V138" s="19">
        <f>G138</f>
        <v>63306.050089999997</v>
      </c>
      <c r="W138" s="19"/>
      <c r="X138" s="19">
        <f>V138</f>
        <v>63306.050089999997</v>
      </c>
      <c r="Y138" s="19"/>
      <c r="Z138" s="14"/>
      <c r="AA138" s="14"/>
      <c r="AB138" s="14"/>
      <c r="AC138" s="14"/>
      <c r="AD138" s="14"/>
      <c r="AE138" s="14"/>
      <c r="AF138" s="14"/>
      <c r="AG138" s="14" t="s">
        <v>39</v>
      </c>
      <c r="AH138" s="78"/>
      <c r="AI138" s="14"/>
      <c r="AJ138" s="103"/>
    </row>
    <row r="139" spans="1:36" s="36" customFormat="1" ht="75.75" customHeight="1">
      <c r="A139" s="89">
        <v>6</v>
      </c>
      <c r="B139" s="26" t="s">
        <v>152</v>
      </c>
      <c r="C139" s="17"/>
      <c r="D139" s="50"/>
      <c r="E139" s="50"/>
      <c r="F139" s="19">
        <v>80.3</v>
      </c>
      <c r="G139" s="19">
        <v>50000</v>
      </c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19"/>
      <c r="U139" s="19"/>
      <c r="V139" s="19"/>
      <c r="W139" s="19"/>
      <c r="X139" s="19"/>
      <c r="Y139" s="19"/>
      <c r="Z139" s="14"/>
      <c r="AA139" s="19">
        <f>F139</f>
        <v>80.3</v>
      </c>
      <c r="AB139" s="19">
        <f>G139</f>
        <v>50000</v>
      </c>
      <c r="AC139" s="14"/>
      <c r="AD139" s="19">
        <f>AB139</f>
        <v>50000</v>
      </c>
      <c r="AE139" s="14"/>
      <c r="AF139" s="14"/>
      <c r="AG139" s="14"/>
      <c r="AH139" s="78"/>
      <c r="AI139" s="14"/>
      <c r="AJ139" s="103"/>
    </row>
    <row r="140" spans="1:36" s="36" customFormat="1" ht="36" customHeight="1">
      <c r="A140" s="162" t="s">
        <v>26</v>
      </c>
      <c r="B140" s="163"/>
      <c r="C140" s="50"/>
      <c r="D140" s="50"/>
      <c r="E140" s="50"/>
      <c r="F140" s="50"/>
      <c r="G140" s="119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19"/>
      <c r="U140" s="31"/>
      <c r="V140" s="119"/>
      <c r="W140" s="119"/>
      <c r="X140" s="119"/>
      <c r="Y140" s="119"/>
      <c r="Z140" s="14"/>
      <c r="AA140" s="14"/>
      <c r="AB140" s="14"/>
      <c r="AC140" s="14"/>
      <c r="AD140" s="14"/>
      <c r="AE140" s="14"/>
      <c r="AF140" s="14"/>
      <c r="AG140" s="14"/>
      <c r="AH140" s="78"/>
      <c r="AI140" s="14"/>
      <c r="AJ140" s="103"/>
    </row>
    <row r="141" spans="1:36" s="36" customFormat="1" ht="80.25" customHeight="1">
      <c r="A141" s="69">
        <v>7</v>
      </c>
      <c r="B141" s="26" t="s">
        <v>128</v>
      </c>
      <c r="C141" s="50"/>
      <c r="D141" s="50"/>
      <c r="E141" s="50"/>
      <c r="F141" s="19">
        <v>70.900000000000006</v>
      </c>
      <c r="G141" s="19">
        <v>240000</v>
      </c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19"/>
      <c r="U141" s="31"/>
      <c r="V141" s="119" t="s">
        <v>21</v>
      </c>
      <c r="W141" s="119" t="s">
        <v>19</v>
      </c>
      <c r="X141" s="119"/>
      <c r="Y141" s="119"/>
      <c r="Z141" s="14"/>
      <c r="AA141" s="19">
        <v>70.900000000000006</v>
      </c>
      <c r="AB141" s="19">
        <f>G141</f>
        <v>240000</v>
      </c>
      <c r="AC141" s="14"/>
      <c r="AD141" s="19">
        <f>AB141</f>
        <v>240000</v>
      </c>
      <c r="AE141" s="14"/>
      <c r="AF141" s="14"/>
      <c r="AG141" s="14"/>
      <c r="AH141" s="78"/>
      <c r="AI141" s="14"/>
      <c r="AJ141" s="103"/>
    </row>
    <row r="142" spans="1:36" s="36" customFormat="1" ht="63.2" hidden="1" customHeight="1">
      <c r="A142" s="69">
        <v>8</v>
      </c>
      <c r="B142" s="26" t="s">
        <v>129</v>
      </c>
      <c r="C142" s="50"/>
      <c r="D142" s="50"/>
      <c r="E142" s="50"/>
      <c r="F142" s="19"/>
      <c r="G142" s="19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19"/>
      <c r="U142" s="31"/>
      <c r="V142" s="119"/>
      <c r="W142" s="119"/>
      <c r="X142" s="119"/>
      <c r="Y142" s="119"/>
      <c r="Z142" s="14"/>
      <c r="AA142" s="19"/>
      <c r="AB142" s="19"/>
      <c r="AC142" s="14"/>
      <c r="AD142" s="19"/>
      <c r="AE142" s="14"/>
      <c r="AF142" s="14"/>
      <c r="AG142" s="14"/>
      <c r="AH142" s="78"/>
      <c r="AI142" s="14"/>
      <c r="AJ142" s="103"/>
    </row>
    <row r="143" spans="1:36" s="36" customFormat="1" ht="36" customHeight="1">
      <c r="A143" s="162" t="s">
        <v>27</v>
      </c>
      <c r="B143" s="163"/>
      <c r="C143" s="50"/>
      <c r="D143" s="50"/>
      <c r="E143" s="50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19"/>
      <c r="U143" s="31"/>
      <c r="V143" s="119"/>
      <c r="W143" s="119"/>
      <c r="X143" s="119"/>
      <c r="Y143" s="119"/>
      <c r="Z143" s="14"/>
      <c r="AA143" s="14"/>
      <c r="AB143" s="14"/>
      <c r="AC143" s="14"/>
      <c r="AD143" s="14"/>
      <c r="AE143" s="14"/>
      <c r="AF143" s="14"/>
      <c r="AG143" s="14"/>
      <c r="AH143" s="78"/>
      <c r="AI143" s="14"/>
      <c r="AJ143" s="103"/>
    </row>
    <row r="144" spans="1:36" s="36" customFormat="1" ht="54.75" customHeight="1">
      <c r="A144" s="69">
        <v>8</v>
      </c>
      <c r="B144" s="26" t="s">
        <v>130</v>
      </c>
      <c r="C144" s="50"/>
      <c r="D144" s="50"/>
      <c r="E144" s="50"/>
      <c r="F144" s="19">
        <v>65.3</v>
      </c>
      <c r="G144" s="19">
        <v>30000</v>
      </c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19"/>
      <c r="U144" s="31"/>
      <c r="V144" s="119"/>
      <c r="W144" s="119"/>
      <c r="X144" s="119"/>
      <c r="Y144" s="119"/>
      <c r="Z144" s="14"/>
      <c r="AA144" s="19">
        <v>65.3</v>
      </c>
      <c r="AB144" s="19">
        <v>30000</v>
      </c>
      <c r="AC144" s="14"/>
      <c r="AD144" s="19">
        <f>AB144</f>
        <v>30000</v>
      </c>
      <c r="AE144" s="14"/>
      <c r="AF144" s="14"/>
      <c r="AG144" s="14"/>
      <c r="AH144" s="78"/>
      <c r="AI144" s="14"/>
      <c r="AJ144" s="103"/>
    </row>
    <row r="145" spans="1:36" s="36" customFormat="1" ht="36" customHeight="1">
      <c r="A145" s="162" t="s">
        <v>28</v>
      </c>
      <c r="B145" s="163"/>
      <c r="C145" s="50"/>
      <c r="D145" s="50"/>
      <c r="E145" s="50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19"/>
      <c r="U145" s="31"/>
      <c r="V145" s="119"/>
      <c r="W145" s="119"/>
      <c r="X145" s="119"/>
      <c r="Y145" s="119"/>
      <c r="Z145" s="14"/>
      <c r="AA145" s="14"/>
      <c r="AB145" s="14"/>
      <c r="AC145" s="14"/>
      <c r="AD145" s="19"/>
      <c r="AE145" s="14"/>
      <c r="AF145" s="14"/>
      <c r="AG145" s="14"/>
      <c r="AH145" s="78"/>
      <c r="AI145" s="14"/>
      <c r="AJ145" s="103"/>
    </row>
    <row r="146" spans="1:36" s="36" customFormat="1" ht="67.900000000000006" customHeight="1">
      <c r="A146" s="69">
        <v>9</v>
      </c>
      <c r="B146" s="26" t="s">
        <v>96</v>
      </c>
      <c r="C146" s="50"/>
      <c r="D146" s="50"/>
      <c r="E146" s="50"/>
      <c r="F146" s="19">
        <v>51.2</v>
      </c>
      <c r="G146" s="19">
        <v>30000</v>
      </c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19"/>
      <c r="U146" s="31"/>
      <c r="V146" s="119"/>
      <c r="W146" s="119"/>
      <c r="X146" s="119"/>
      <c r="Y146" s="119"/>
      <c r="Z146" s="14"/>
      <c r="AA146" s="19">
        <v>51.2</v>
      </c>
      <c r="AB146" s="19">
        <v>30000</v>
      </c>
      <c r="AC146" s="14"/>
      <c r="AD146" s="19">
        <f>AB146</f>
        <v>30000</v>
      </c>
      <c r="AE146" s="14"/>
      <c r="AF146" s="14"/>
      <c r="AG146" s="14"/>
      <c r="AH146" s="78"/>
      <c r="AI146" s="14"/>
      <c r="AJ146" s="103"/>
    </row>
    <row r="147" spans="1:36" s="36" customFormat="1" ht="36" customHeight="1">
      <c r="A147" s="162" t="s">
        <v>30</v>
      </c>
      <c r="B147" s="163"/>
      <c r="C147" s="50"/>
      <c r="D147" s="50"/>
      <c r="E147" s="50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19"/>
      <c r="U147" s="31"/>
      <c r="V147" s="119"/>
      <c r="W147" s="119"/>
      <c r="X147" s="119"/>
      <c r="Y147" s="119"/>
      <c r="Z147" s="14"/>
      <c r="AA147" s="14"/>
      <c r="AB147" s="14"/>
      <c r="AC147" s="14"/>
      <c r="AD147" s="14"/>
      <c r="AE147" s="14"/>
      <c r="AF147" s="14"/>
      <c r="AG147" s="14"/>
      <c r="AH147" s="78"/>
      <c r="AI147" s="14"/>
      <c r="AJ147" s="103"/>
    </row>
    <row r="148" spans="1:36" s="36" customFormat="1" ht="64.5" customHeight="1">
      <c r="A148" s="69">
        <v>10</v>
      </c>
      <c r="B148" s="26" t="s">
        <v>97</v>
      </c>
      <c r="C148" s="50"/>
      <c r="D148" s="50"/>
      <c r="E148" s="50"/>
      <c r="F148" s="19" t="s">
        <v>72</v>
      </c>
      <c r="G148" s="19">
        <v>15478.27</v>
      </c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19"/>
      <c r="U148" s="19" t="str">
        <f>F148</f>
        <v>50,9</v>
      </c>
      <c r="V148" s="19">
        <f>G148</f>
        <v>15478.27</v>
      </c>
      <c r="W148" s="19"/>
      <c r="X148" s="19">
        <f>V148</f>
        <v>15478.27</v>
      </c>
      <c r="Y148" s="119"/>
      <c r="Z148" s="14"/>
      <c r="AA148" s="14"/>
      <c r="AB148" s="14"/>
      <c r="AC148" s="14"/>
      <c r="AD148" s="14"/>
      <c r="AE148" s="14"/>
      <c r="AF148" s="14"/>
      <c r="AG148" s="14"/>
      <c r="AH148" s="78"/>
      <c r="AI148" s="14"/>
      <c r="AJ148" s="103"/>
    </row>
    <row r="149" spans="1:36" s="36" customFormat="1" ht="52.5" customHeight="1">
      <c r="A149" s="69">
        <v>11</v>
      </c>
      <c r="B149" s="63" t="s">
        <v>98</v>
      </c>
      <c r="C149" s="50"/>
      <c r="D149" s="50"/>
      <c r="E149" s="50"/>
      <c r="F149" s="19">
        <v>67.7</v>
      </c>
      <c r="G149" s="19">
        <v>30000</v>
      </c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19"/>
      <c r="U149" s="19"/>
      <c r="V149" s="19"/>
      <c r="W149" s="19"/>
      <c r="X149" s="19"/>
      <c r="Y149" s="119"/>
      <c r="Z149" s="14"/>
      <c r="AA149" s="19">
        <v>67.7</v>
      </c>
      <c r="AB149" s="19">
        <v>30000</v>
      </c>
      <c r="AC149" s="14"/>
      <c r="AD149" s="19">
        <f>AB149</f>
        <v>30000</v>
      </c>
      <c r="AE149" s="14"/>
      <c r="AF149" s="14"/>
      <c r="AG149" s="14"/>
      <c r="AH149" s="78"/>
      <c r="AI149" s="14"/>
      <c r="AJ149" s="103"/>
    </row>
    <row r="150" spans="1:36" s="36" customFormat="1" ht="36" customHeight="1">
      <c r="A150" s="162" t="s">
        <v>71</v>
      </c>
      <c r="B150" s="163"/>
      <c r="C150" s="50"/>
      <c r="D150" s="51"/>
      <c r="E150" s="51"/>
      <c r="F150" s="19"/>
      <c r="G150" s="19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19"/>
      <c r="U150" s="31"/>
      <c r="V150" s="119"/>
      <c r="W150" s="119"/>
      <c r="X150" s="119"/>
      <c r="Y150" s="119"/>
      <c r="Z150" s="14"/>
      <c r="AA150" s="22"/>
      <c r="AB150" s="19"/>
      <c r="AC150" s="19"/>
      <c r="AD150" s="19"/>
      <c r="AE150" s="19"/>
      <c r="AF150" s="14"/>
      <c r="AG150" s="14"/>
      <c r="AH150" s="78"/>
      <c r="AI150" s="14"/>
      <c r="AJ150" s="103"/>
    </row>
    <row r="151" spans="1:36" s="36" customFormat="1" ht="62.65" customHeight="1">
      <c r="A151" s="69">
        <v>12</v>
      </c>
      <c r="B151" s="63" t="s">
        <v>80</v>
      </c>
      <c r="C151" s="50"/>
      <c r="D151" s="51"/>
      <c r="E151" s="51"/>
      <c r="F151" s="19">
        <v>216.28</v>
      </c>
      <c r="G151" s="19">
        <v>375000</v>
      </c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19"/>
      <c r="U151" s="31"/>
      <c r="V151" s="119"/>
      <c r="W151" s="119"/>
      <c r="X151" s="119"/>
      <c r="Y151" s="119"/>
      <c r="Z151" s="14"/>
      <c r="AA151" s="19">
        <v>216.28</v>
      </c>
      <c r="AB151" s="19">
        <v>375000</v>
      </c>
      <c r="AC151" s="19"/>
      <c r="AD151" s="19">
        <f>AB151-AE151</f>
        <v>352500</v>
      </c>
      <c r="AE151" s="19">
        <f>AB151*0.06</f>
        <v>22500</v>
      </c>
      <c r="AF151" s="14"/>
      <c r="AG151" s="14"/>
      <c r="AH151" s="78"/>
      <c r="AI151" s="14"/>
      <c r="AJ151" s="103"/>
    </row>
    <row r="152" spans="1:36" s="36" customFormat="1" ht="36" customHeight="1">
      <c r="A152" s="162" t="s">
        <v>70</v>
      </c>
      <c r="B152" s="163"/>
      <c r="C152" s="50"/>
      <c r="D152" s="51"/>
      <c r="E152" s="51"/>
      <c r="F152" s="22"/>
      <c r="G152" s="19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19"/>
      <c r="U152" s="31"/>
      <c r="V152" s="119"/>
      <c r="W152" s="119"/>
      <c r="X152" s="119"/>
      <c r="Y152" s="119"/>
      <c r="Z152" s="14"/>
      <c r="AA152" s="22"/>
      <c r="AB152" s="19"/>
      <c r="AC152" s="19"/>
      <c r="AD152" s="19"/>
      <c r="AE152" s="19"/>
      <c r="AF152" s="14"/>
      <c r="AG152" s="14"/>
      <c r="AH152" s="78"/>
      <c r="AI152" s="14"/>
      <c r="AJ152" s="103"/>
    </row>
    <row r="153" spans="1:36" s="36" customFormat="1" ht="77.650000000000006" customHeight="1">
      <c r="A153" s="69">
        <v>13</v>
      </c>
      <c r="B153" s="63" t="s">
        <v>81</v>
      </c>
      <c r="C153" s="50"/>
      <c r="D153" s="51"/>
      <c r="E153" s="51"/>
      <c r="F153" s="19">
        <v>39.700000000000003</v>
      </c>
      <c r="G153" s="19">
        <v>20000</v>
      </c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19"/>
      <c r="U153" s="31"/>
      <c r="V153" s="119"/>
      <c r="W153" s="119"/>
      <c r="X153" s="119"/>
      <c r="Y153" s="119"/>
      <c r="Z153" s="14"/>
      <c r="AA153" s="19">
        <v>39.700000000000003</v>
      </c>
      <c r="AB153" s="19">
        <v>20000</v>
      </c>
      <c r="AC153" s="19"/>
      <c r="AD153" s="19">
        <f>AB153</f>
        <v>20000</v>
      </c>
      <c r="AE153" s="19"/>
      <c r="AF153" s="14"/>
      <c r="AG153" s="14"/>
      <c r="AH153" s="78"/>
      <c r="AI153" s="14"/>
      <c r="AJ153" s="103"/>
    </row>
    <row r="154" spans="1:36" s="36" customFormat="1" ht="36" customHeight="1">
      <c r="A154" s="162" t="s">
        <v>34</v>
      </c>
      <c r="B154" s="163"/>
      <c r="C154" s="50"/>
      <c r="D154" s="51"/>
      <c r="E154" s="51"/>
      <c r="F154" s="19"/>
      <c r="G154" s="19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19"/>
      <c r="U154" s="31"/>
      <c r="V154" s="119"/>
      <c r="W154" s="119"/>
      <c r="X154" s="119"/>
      <c r="Y154" s="119"/>
      <c r="Z154" s="14"/>
      <c r="AA154" s="22"/>
      <c r="AB154" s="19"/>
      <c r="AC154" s="19"/>
      <c r="AD154" s="19"/>
      <c r="AE154" s="19"/>
      <c r="AF154" s="14"/>
      <c r="AG154" s="14"/>
      <c r="AH154" s="78"/>
      <c r="AI154" s="14"/>
      <c r="AJ154" s="103"/>
    </row>
    <row r="155" spans="1:36" s="36" customFormat="1" ht="72.75" customHeight="1">
      <c r="A155" s="69">
        <v>14</v>
      </c>
      <c r="B155" s="60" t="s">
        <v>82</v>
      </c>
      <c r="C155" s="26"/>
      <c r="D155" s="51"/>
      <c r="E155" s="51"/>
      <c r="F155" s="19">
        <v>60.15</v>
      </c>
      <c r="G155" s="19">
        <f>215610.4-15000</f>
        <v>200610.4</v>
      </c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19"/>
      <c r="U155" s="19">
        <v>60.15</v>
      </c>
      <c r="V155" s="19">
        <f>152971.4+32100.9-15000</f>
        <v>170072.3</v>
      </c>
      <c r="W155" s="19"/>
      <c r="X155" s="59">
        <f>V155-Y155</f>
        <v>158167.19999999998</v>
      </c>
      <c r="Y155" s="59">
        <v>11905.1</v>
      </c>
      <c r="Z155" s="14"/>
      <c r="AA155" s="14"/>
      <c r="AB155" s="119"/>
      <c r="AC155" s="119"/>
      <c r="AD155" s="119"/>
      <c r="AE155" s="119"/>
      <c r="AF155" s="14"/>
      <c r="AG155" s="14"/>
      <c r="AH155" s="78"/>
      <c r="AI155" s="14"/>
      <c r="AJ155" s="103"/>
    </row>
    <row r="156" spans="1:36" s="36" customFormat="1" ht="65.25" customHeight="1">
      <c r="A156" s="69">
        <v>15</v>
      </c>
      <c r="B156" s="60" t="s">
        <v>99</v>
      </c>
      <c r="C156" s="17"/>
      <c r="D156" s="50"/>
      <c r="E156" s="50"/>
      <c r="F156" s="19">
        <v>69.900000000000006</v>
      </c>
      <c r="G156" s="19">
        <v>65674.763399999996</v>
      </c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19"/>
      <c r="U156" s="19">
        <v>69.900000000000006</v>
      </c>
      <c r="V156" s="19">
        <v>37144.763399999996</v>
      </c>
      <c r="W156" s="19"/>
      <c r="X156" s="59">
        <f>V156</f>
        <v>37144.763399999996</v>
      </c>
      <c r="Y156" s="19"/>
      <c r="Z156" s="14"/>
      <c r="AA156" s="14"/>
      <c r="AB156" s="14"/>
      <c r="AC156" s="14"/>
      <c r="AD156" s="14"/>
      <c r="AE156" s="14"/>
      <c r="AF156" s="14"/>
      <c r="AG156" s="14"/>
      <c r="AH156" s="78"/>
      <c r="AI156" s="14"/>
      <c r="AJ156" s="103"/>
    </row>
    <row r="157" spans="1:36" s="36" customFormat="1" ht="63.75" customHeight="1">
      <c r="A157" s="69">
        <v>16</v>
      </c>
      <c r="B157" s="60" t="s">
        <v>100</v>
      </c>
      <c r="C157" s="17"/>
      <c r="D157" s="50"/>
      <c r="E157" s="50"/>
      <c r="F157" s="19">
        <v>69.900000000000006</v>
      </c>
      <c r="G157" s="19">
        <v>65644.468389999995</v>
      </c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19"/>
      <c r="U157" s="19">
        <v>69.900000000000006</v>
      </c>
      <c r="V157" s="19">
        <v>47124.468389999995</v>
      </c>
      <c r="W157" s="19"/>
      <c r="X157" s="59">
        <f>V157</f>
        <v>47124.468389999995</v>
      </c>
      <c r="Y157" s="119"/>
      <c r="Z157" s="14"/>
      <c r="AA157" s="119"/>
      <c r="AB157" s="19"/>
      <c r="AC157" s="19"/>
      <c r="AD157" s="19"/>
      <c r="AE157" s="19"/>
      <c r="AF157" s="14" t="s">
        <v>21</v>
      </c>
      <c r="AG157" s="14" t="s">
        <v>0</v>
      </c>
      <c r="AH157" s="78"/>
      <c r="AI157" s="14"/>
      <c r="AJ157" s="103"/>
    </row>
    <row r="158" spans="1:36" s="36" customFormat="1" ht="66" customHeight="1">
      <c r="A158" s="69">
        <v>17</v>
      </c>
      <c r="B158" s="60" t="s">
        <v>101</v>
      </c>
      <c r="C158" s="25"/>
      <c r="D158" s="50"/>
      <c r="E158" s="50"/>
      <c r="F158" s="19">
        <v>66.2</v>
      </c>
      <c r="G158" s="19">
        <v>63566.332900000001</v>
      </c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19"/>
      <c r="U158" s="19">
        <v>66.2</v>
      </c>
      <c r="V158" s="19">
        <f>45631.3329+5000-461.62055</f>
        <v>50169.712350000002</v>
      </c>
      <c r="W158" s="19"/>
      <c r="X158" s="59">
        <f>V158</f>
        <v>50169.712350000002</v>
      </c>
      <c r="Y158" s="119"/>
      <c r="Z158" s="14"/>
      <c r="AA158" s="14"/>
      <c r="AB158" s="119"/>
      <c r="AC158" s="119"/>
      <c r="AD158" s="119"/>
      <c r="AE158" s="119"/>
      <c r="AF158" s="14"/>
      <c r="AG158" s="14" t="s">
        <v>19</v>
      </c>
      <c r="AH158" s="78"/>
      <c r="AI158" s="14"/>
      <c r="AJ158" s="103"/>
    </row>
    <row r="159" spans="1:36" s="36" customFormat="1" ht="69.75" customHeight="1">
      <c r="A159" s="69">
        <v>18</v>
      </c>
      <c r="B159" s="60" t="s">
        <v>83</v>
      </c>
      <c r="C159" s="25"/>
      <c r="D159" s="50"/>
      <c r="E159" s="50"/>
      <c r="F159" s="19">
        <v>78.2</v>
      </c>
      <c r="G159" s="19">
        <v>101447.04023</v>
      </c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19"/>
      <c r="U159" s="19">
        <v>78.2</v>
      </c>
      <c r="V159" s="19">
        <v>72827.040229999999</v>
      </c>
      <c r="W159" s="19"/>
      <c r="X159" s="59">
        <f>V159</f>
        <v>72827.040229999999</v>
      </c>
      <c r="Y159" s="14"/>
      <c r="Z159" s="14"/>
      <c r="AA159" s="14"/>
      <c r="AB159" s="14"/>
      <c r="AC159" s="14"/>
      <c r="AD159" s="14"/>
      <c r="AE159" s="14"/>
      <c r="AF159" s="14"/>
      <c r="AG159" s="14"/>
      <c r="AH159" s="78"/>
      <c r="AI159" s="14"/>
      <c r="AJ159" s="103"/>
    </row>
    <row r="160" spans="1:36" s="36" customFormat="1" ht="65.25" hidden="1" customHeight="1">
      <c r="A160" s="69">
        <v>20</v>
      </c>
      <c r="B160" s="60" t="s">
        <v>102</v>
      </c>
      <c r="C160" s="25"/>
      <c r="D160" s="50"/>
      <c r="E160" s="50"/>
      <c r="F160" s="19"/>
      <c r="G160" s="1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19"/>
      <c r="U160" s="19"/>
      <c r="V160" s="19" t="s">
        <v>21</v>
      </c>
      <c r="W160" s="19"/>
      <c r="X160" s="59"/>
      <c r="Y160" s="14"/>
      <c r="Z160" s="14"/>
      <c r="AA160" s="19"/>
      <c r="AB160" s="19"/>
      <c r="AC160" s="14"/>
      <c r="AD160" s="19"/>
      <c r="AE160" s="14"/>
      <c r="AF160" s="14"/>
      <c r="AG160" s="14"/>
      <c r="AH160" s="78"/>
      <c r="AI160" s="14"/>
      <c r="AJ160" s="103"/>
    </row>
    <row r="161" spans="1:36" s="38" customFormat="1" ht="30" customHeight="1">
      <c r="A161" s="162" t="s">
        <v>69</v>
      </c>
      <c r="B161" s="163"/>
      <c r="C161" s="25"/>
      <c r="D161" s="50"/>
      <c r="E161" s="50"/>
      <c r="F161" s="19"/>
      <c r="G161" s="1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19"/>
      <c r="U161" s="19"/>
      <c r="V161" s="19"/>
      <c r="W161" s="19"/>
      <c r="X161" s="59"/>
      <c r="Y161" s="14"/>
      <c r="Z161" s="14"/>
      <c r="AA161" s="14"/>
      <c r="AB161" s="14"/>
      <c r="AC161" s="14"/>
      <c r="AD161" s="14"/>
      <c r="AE161" s="14"/>
      <c r="AF161" s="14"/>
      <c r="AG161" s="14"/>
      <c r="AH161" s="78"/>
      <c r="AI161" s="14"/>
      <c r="AJ161" s="103"/>
    </row>
    <row r="162" spans="1:36" s="38" customFormat="1" ht="65.25" customHeight="1">
      <c r="A162" s="72">
        <v>19</v>
      </c>
      <c r="B162" s="60" t="s">
        <v>131</v>
      </c>
      <c r="C162" s="52"/>
      <c r="D162" s="52"/>
      <c r="E162" s="54"/>
      <c r="F162" s="19">
        <v>160.69999999999999</v>
      </c>
      <c r="G162" s="19">
        <v>47163.406629999998</v>
      </c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19"/>
      <c r="U162" s="19">
        <v>160.69999999999999</v>
      </c>
      <c r="V162" s="59">
        <v>18521.742969999999</v>
      </c>
      <c r="W162" s="19"/>
      <c r="X162" s="59">
        <f>V162</f>
        <v>18521.742969999999</v>
      </c>
      <c r="Y162" s="53"/>
      <c r="Z162" s="52"/>
      <c r="AA162" s="52"/>
      <c r="AB162" s="52"/>
      <c r="AC162" s="52"/>
      <c r="AD162" s="52"/>
      <c r="AE162" s="52"/>
      <c r="AF162" s="52"/>
      <c r="AG162" s="52"/>
      <c r="AH162" s="118"/>
      <c r="AI162" s="52"/>
      <c r="AJ162" s="98"/>
    </row>
    <row r="163" spans="1:36" s="38" customFormat="1" ht="28.5" customHeight="1">
      <c r="A163" s="162" t="s">
        <v>35</v>
      </c>
      <c r="B163" s="163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118"/>
      <c r="AI163" s="52"/>
      <c r="AJ163" s="98"/>
    </row>
    <row r="164" spans="1:36" s="38" customFormat="1" ht="45.75" customHeight="1" thickBot="1">
      <c r="A164" s="104">
        <v>20</v>
      </c>
      <c r="B164" s="105" t="s">
        <v>132</v>
      </c>
      <c r="C164" s="106"/>
      <c r="D164" s="107"/>
      <c r="E164" s="108"/>
      <c r="F164" s="109">
        <v>88</v>
      </c>
      <c r="G164" s="109">
        <v>51306.21</v>
      </c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8"/>
      <c r="U164" s="109">
        <f>F164</f>
        <v>88</v>
      </c>
      <c r="V164" s="109">
        <f>X164+Y164</f>
        <v>29382.809999999998</v>
      </c>
      <c r="W164" s="109"/>
      <c r="X164" s="110">
        <v>27619.8</v>
      </c>
      <c r="Y164" s="110">
        <v>1763.01</v>
      </c>
      <c r="Z164" s="107" t="s">
        <v>21</v>
      </c>
      <c r="AA164" s="107"/>
      <c r="AB164" s="107"/>
      <c r="AC164" s="107" t="s">
        <v>0</v>
      </c>
      <c r="AD164" s="107"/>
      <c r="AE164" s="107"/>
      <c r="AF164" s="107"/>
      <c r="AG164" s="107"/>
      <c r="AH164" s="111"/>
      <c r="AI164" s="107"/>
      <c r="AJ164" s="112"/>
    </row>
    <row r="165" spans="1:36" s="38" customFormat="1" ht="29.25" hidden="1" customHeight="1" thickBot="1">
      <c r="A165" s="167"/>
      <c r="B165" s="168"/>
      <c r="C165" s="168"/>
      <c r="D165" s="90"/>
      <c r="E165" s="91"/>
      <c r="F165" s="92"/>
      <c r="G165" s="93"/>
      <c r="H165" s="94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1"/>
      <c r="U165" s="92"/>
      <c r="V165" s="93"/>
      <c r="W165" s="93"/>
      <c r="X165" s="93"/>
      <c r="Y165" s="93"/>
      <c r="Z165" s="90"/>
      <c r="AA165" s="90"/>
      <c r="AB165" s="90"/>
      <c r="AC165" s="90"/>
      <c r="AD165" s="90"/>
      <c r="AE165" s="90"/>
      <c r="AF165" s="90"/>
      <c r="AG165" s="90"/>
      <c r="AH165" s="95"/>
      <c r="AI165" s="96"/>
      <c r="AJ165" s="96"/>
    </row>
    <row r="166" spans="1:36" s="38" customFormat="1">
      <c r="A166" s="40"/>
      <c r="B166" s="37"/>
      <c r="C166" s="37"/>
      <c r="D166" s="37"/>
      <c r="E166" s="37"/>
      <c r="F166" s="37"/>
      <c r="G166" s="37"/>
      <c r="H166" s="39"/>
      <c r="I166" s="37"/>
      <c r="J166" s="37"/>
      <c r="K166" s="37"/>
      <c r="L166" s="37"/>
      <c r="M166" s="37"/>
      <c r="N166" s="37"/>
      <c r="O166" s="37"/>
      <c r="P166" s="37"/>
    </row>
    <row r="167" spans="1:36" s="38" customFormat="1">
      <c r="A167" s="40"/>
      <c r="B167" s="37"/>
      <c r="C167" s="37"/>
      <c r="D167" s="37"/>
      <c r="E167" s="37"/>
      <c r="F167" s="37"/>
      <c r="G167" s="37"/>
      <c r="H167" s="39"/>
      <c r="I167" s="37"/>
      <c r="J167" s="37"/>
      <c r="K167" s="37"/>
      <c r="L167" s="37"/>
      <c r="M167" s="37"/>
      <c r="N167" s="37"/>
      <c r="O167" s="37"/>
      <c r="P167" s="37"/>
    </row>
    <row r="168" spans="1:36" s="38" customFormat="1">
      <c r="A168" s="40"/>
      <c r="B168" s="37"/>
      <c r="C168" s="37"/>
      <c r="D168" s="37"/>
      <c r="E168" s="37"/>
      <c r="F168" s="37"/>
      <c r="G168" s="37"/>
      <c r="H168" s="39"/>
      <c r="I168" s="37"/>
      <c r="J168" s="37"/>
      <c r="K168" s="37"/>
      <c r="L168" s="37"/>
      <c r="M168" s="37"/>
      <c r="N168" s="37"/>
      <c r="O168" s="37"/>
      <c r="P168" s="37"/>
    </row>
    <row r="169" spans="1:36" s="38" customFormat="1">
      <c r="A169" s="40"/>
      <c r="B169" s="37"/>
      <c r="C169" s="37"/>
      <c r="D169" s="37"/>
      <c r="E169" s="37"/>
      <c r="F169" s="37"/>
      <c r="G169" s="37"/>
      <c r="H169" s="39"/>
      <c r="I169" s="37"/>
      <c r="J169" s="37"/>
      <c r="K169" s="37"/>
      <c r="L169" s="37"/>
      <c r="M169" s="37"/>
      <c r="N169" s="37"/>
      <c r="O169" s="37"/>
      <c r="P169" s="37"/>
    </row>
    <row r="170" spans="1:36" s="38" customFormat="1">
      <c r="A170" s="40"/>
      <c r="B170" s="37"/>
      <c r="C170" s="37"/>
      <c r="D170" s="37"/>
      <c r="E170" s="37"/>
      <c r="F170" s="37"/>
      <c r="G170" s="37"/>
      <c r="H170" s="39"/>
      <c r="I170" s="37"/>
      <c r="J170" s="37"/>
      <c r="K170" s="37"/>
      <c r="L170" s="37"/>
      <c r="M170" s="37"/>
      <c r="N170" s="37"/>
      <c r="O170" s="37"/>
      <c r="P170" s="37"/>
    </row>
    <row r="171" spans="1:36" s="38" customFormat="1">
      <c r="A171" s="40"/>
      <c r="B171" s="37"/>
      <c r="C171" s="37"/>
      <c r="D171" s="37"/>
      <c r="E171" s="37"/>
      <c r="F171" s="37"/>
      <c r="G171" s="37"/>
      <c r="H171" s="39"/>
      <c r="I171" s="37"/>
      <c r="J171" s="37"/>
      <c r="K171" s="37"/>
      <c r="L171" s="37"/>
      <c r="M171" s="37"/>
      <c r="N171" s="37"/>
      <c r="O171" s="37"/>
      <c r="P171" s="37"/>
    </row>
    <row r="172" spans="1:36" s="38" customFormat="1">
      <c r="A172" s="40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36" s="38" customFormat="1">
      <c r="A173" s="40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36" s="38" customFormat="1">
      <c r="A174" s="40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36" s="38" customFormat="1">
      <c r="A175" s="40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36" s="38" customFormat="1">
      <c r="A176" s="40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38" customFormat="1">
      <c r="A177" s="40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38" customFormat="1">
      <c r="A178" s="40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38" customFormat="1">
      <c r="A179" s="40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38" customFormat="1">
      <c r="A180" s="40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38" customFormat="1">
      <c r="A181" s="40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38" customFormat="1">
      <c r="A182" s="40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38" customFormat="1">
      <c r="A183" s="40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38" customFormat="1">
      <c r="A184" s="40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38" customFormat="1">
      <c r="A185" s="40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38" customFormat="1">
      <c r="A186" s="40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38" customFormat="1">
      <c r="A187" s="40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38" customFormat="1">
      <c r="A188" s="40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38" customFormat="1">
      <c r="A189" s="40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38" customFormat="1">
      <c r="A190" s="40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38" customFormat="1">
      <c r="A191" s="40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38" customFormat="1">
      <c r="A192" s="40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38" customFormat="1">
      <c r="A193" s="40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38" customFormat="1">
      <c r="A194" s="40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38" customFormat="1">
      <c r="A195" s="40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38" customFormat="1">
      <c r="A196" s="40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38" customFormat="1">
      <c r="A197" s="40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38" customFormat="1">
      <c r="A198" s="40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38" customFormat="1">
      <c r="A199" s="41"/>
      <c r="L199" s="37"/>
      <c r="M199" s="37"/>
      <c r="N199" s="37"/>
      <c r="O199" s="37"/>
      <c r="P199" s="37"/>
    </row>
    <row r="200" spans="1:16" s="38" customFormat="1">
      <c r="A200" s="41"/>
      <c r="L200" s="37"/>
      <c r="M200" s="37"/>
      <c r="N200" s="37"/>
      <c r="O200" s="37"/>
      <c r="P200" s="37"/>
    </row>
    <row r="201" spans="1:16" s="38" customFormat="1">
      <c r="A201" s="41"/>
      <c r="L201" s="37"/>
      <c r="M201" s="37"/>
      <c r="N201" s="37"/>
      <c r="O201" s="37"/>
      <c r="P201" s="37"/>
    </row>
    <row r="202" spans="1:16" s="38" customFormat="1">
      <c r="A202" s="41"/>
      <c r="L202" s="37"/>
      <c r="M202" s="37"/>
      <c r="N202" s="37"/>
      <c r="O202" s="37"/>
      <c r="P202" s="37"/>
    </row>
    <row r="203" spans="1:16" s="38" customFormat="1">
      <c r="A203" s="41"/>
      <c r="L203" s="37"/>
      <c r="M203" s="37"/>
      <c r="N203" s="37"/>
      <c r="O203" s="37"/>
      <c r="P203" s="37"/>
    </row>
    <row r="204" spans="1:16" s="38" customFormat="1">
      <c r="A204" s="41"/>
      <c r="L204" s="37"/>
      <c r="M204" s="37"/>
      <c r="N204" s="37"/>
      <c r="O204" s="37"/>
      <c r="P204" s="37"/>
    </row>
    <row r="205" spans="1:16" s="38" customFormat="1">
      <c r="A205" s="41"/>
      <c r="L205" s="37"/>
      <c r="M205" s="37"/>
      <c r="N205" s="37"/>
      <c r="O205" s="37"/>
      <c r="P205" s="37"/>
    </row>
    <row r="206" spans="1:16" s="38" customFormat="1">
      <c r="A206" s="41"/>
      <c r="L206" s="37"/>
      <c r="M206" s="37"/>
      <c r="N206" s="37"/>
      <c r="O206" s="37"/>
      <c r="P206" s="37"/>
    </row>
    <row r="207" spans="1:16" s="38" customFormat="1">
      <c r="A207" s="41"/>
      <c r="L207" s="37"/>
      <c r="M207" s="37"/>
      <c r="N207" s="37"/>
      <c r="O207" s="37"/>
      <c r="P207" s="37"/>
    </row>
    <row r="208" spans="1:16" s="38" customFormat="1">
      <c r="A208" s="41"/>
      <c r="L208" s="37"/>
      <c r="M208" s="37"/>
      <c r="N208" s="37"/>
      <c r="O208" s="37"/>
      <c r="P208" s="37"/>
    </row>
    <row r="209" spans="1:16" s="38" customFormat="1">
      <c r="A209" s="41"/>
      <c r="L209" s="37"/>
      <c r="M209" s="37"/>
      <c r="N209" s="37"/>
      <c r="O209" s="37"/>
      <c r="P209" s="37"/>
    </row>
    <row r="210" spans="1:16" s="38" customFormat="1">
      <c r="A210" s="41"/>
      <c r="L210" s="37"/>
      <c r="M210" s="37"/>
      <c r="N210" s="37"/>
      <c r="O210" s="37"/>
      <c r="P210" s="37"/>
    </row>
    <row r="211" spans="1:16" s="38" customFormat="1">
      <c r="A211" s="41"/>
      <c r="L211" s="37"/>
      <c r="M211" s="37"/>
      <c r="N211" s="37"/>
      <c r="O211" s="37"/>
      <c r="P211" s="37"/>
    </row>
    <row r="212" spans="1:16" s="38" customFormat="1">
      <c r="A212" s="41"/>
      <c r="L212" s="37"/>
      <c r="M212" s="37"/>
      <c r="N212" s="37"/>
      <c r="O212" s="37"/>
      <c r="P212" s="37"/>
    </row>
    <row r="213" spans="1:16" s="38" customFormat="1">
      <c r="A213" s="41"/>
      <c r="L213" s="37"/>
      <c r="M213" s="37"/>
      <c r="N213" s="37"/>
      <c r="O213" s="37"/>
      <c r="P213" s="37"/>
    </row>
    <row r="214" spans="1:16" s="38" customFormat="1">
      <c r="A214" s="41"/>
      <c r="L214" s="37"/>
      <c r="M214" s="37"/>
      <c r="N214" s="37"/>
      <c r="O214" s="37"/>
      <c r="P214" s="37"/>
    </row>
    <row r="215" spans="1:16" s="38" customFormat="1">
      <c r="A215" s="41"/>
      <c r="L215" s="37"/>
      <c r="M215" s="37"/>
      <c r="N215" s="37"/>
      <c r="O215" s="37"/>
      <c r="P215" s="37"/>
    </row>
    <row r="216" spans="1:16" s="38" customFormat="1">
      <c r="A216" s="41"/>
      <c r="L216" s="37"/>
      <c r="M216" s="37"/>
      <c r="N216" s="37"/>
      <c r="O216" s="37"/>
      <c r="P216" s="37"/>
    </row>
    <row r="217" spans="1:16" s="38" customFormat="1">
      <c r="A217" s="41"/>
      <c r="L217" s="37"/>
      <c r="M217" s="37"/>
      <c r="N217" s="37"/>
      <c r="O217" s="37"/>
      <c r="P217" s="37"/>
    </row>
    <row r="218" spans="1:16" s="38" customFormat="1">
      <c r="A218" s="41"/>
      <c r="L218" s="37"/>
      <c r="M218" s="37"/>
      <c r="N218" s="37"/>
      <c r="O218" s="37"/>
      <c r="P218" s="37"/>
    </row>
    <row r="219" spans="1:16" s="38" customFormat="1">
      <c r="A219" s="41"/>
      <c r="L219" s="37"/>
      <c r="M219" s="37"/>
      <c r="N219" s="37"/>
      <c r="O219" s="37"/>
      <c r="P219" s="37"/>
    </row>
    <row r="220" spans="1:16" s="38" customFormat="1">
      <c r="A220" s="41"/>
      <c r="L220" s="37"/>
      <c r="M220" s="37"/>
      <c r="N220" s="37"/>
      <c r="O220" s="37"/>
      <c r="P220" s="37"/>
    </row>
    <row r="221" spans="1:16" s="38" customFormat="1">
      <c r="A221" s="41"/>
      <c r="L221" s="37"/>
      <c r="M221" s="37"/>
      <c r="N221" s="37"/>
      <c r="O221" s="37"/>
      <c r="P221" s="37"/>
    </row>
    <row r="222" spans="1:16" s="38" customFormat="1">
      <c r="A222" s="41"/>
      <c r="L222" s="37"/>
      <c r="M222" s="37"/>
      <c r="N222" s="37"/>
      <c r="O222" s="37"/>
      <c r="P222" s="37"/>
    </row>
    <row r="223" spans="1:16" s="38" customFormat="1">
      <c r="A223" s="41"/>
      <c r="L223" s="37"/>
      <c r="M223" s="37"/>
      <c r="N223" s="37"/>
      <c r="O223" s="37"/>
      <c r="P223" s="37"/>
    </row>
    <row r="224" spans="1:16" s="38" customFormat="1">
      <c r="A224" s="41"/>
      <c r="L224" s="37"/>
      <c r="M224" s="37"/>
      <c r="N224" s="37"/>
      <c r="O224" s="37"/>
      <c r="P224" s="37"/>
    </row>
    <row r="225" spans="1:16" s="38" customFormat="1">
      <c r="A225" s="41"/>
      <c r="L225" s="37"/>
      <c r="M225" s="37"/>
      <c r="N225" s="37"/>
      <c r="O225" s="37"/>
      <c r="P225" s="37"/>
    </row>
    <row r="226" spans="1:16" s="38" customFormat="1">
      <c r="A226" s="41"/>
      <c r="L226" s="37"/>
      <c r="M226" s="37"/>
      <c r="N226" s="37"/>
      <c r="O226" s="37"/>
      <c r="P226" s="37"/>
    </row>
    <row r="227" spans="1:16" s="38" customFormat="1">
      <c r="A227" s="41"/>
      <c r="L227" s="37"/>
      <c r="M227" s="37"/>
      <c r="N227" s="37"/>
      <c r="O227" s="37"/>
      <c r="P227" s="37"/>
    </row>
    <row r="228" spans="1:16" s="38" customFormat="1">
      <c r="A228" s="41"/>
      <c r="L228" s="37"/>
      <c r="M228" s="37"/>
      <c r="N228" s="37"/>
      <c r="O228" s="37"/>
      <c r="P228" s="37"/>
    </row>
    <row r="229" spans="1:16" s="38" customFormat="1">
      <c r="A229" s="41"/>
      <c r="L229" s="37"/>
      <c r="M229" s="37"/>
      <c r="N229" s="37"/>
      <c r="O229" s="37"/>
      <c r="P229" s="37"/>
    </row>
    <row r="230" spans="1:16" s="38" customFormat="1">
      <c r="A230" s="41"/>
      <c r="L230" s="37"/>
      <c r="M230" s="37"/>
      <c r="N230" s="37"/>
      <c r="O230" s="37"/>
      <c r="P230" s="37"/>
    </row>
    <row r="231" spans="1:16" s="38" customFormat="1">
      <c r="A231" s="41"/>
      <c r="L231" s="37"/>
      <c r="M231" s="37"/>
      <c r="N231" s="37"/>
      <c r="O231" s="37"/>
      <c r="P231" s="37"/>
    </row>
    <row r="232" spans="1:16" s="38" customFormat="1">
      <c r="A232" s="41"/>
      <c r="L232" s="37"/>
      <c r="M232" s="37"/>
      <c r="N232" s="37"/>
      <c r="O232" s="37"/>
      <c r="P232" s="37"/>
    </row>
    <row r="233" spans="1:16" s="38" customFormat="1">
      <c r="A233" s="41"/>
      <c r="L233" s="37"/>
      <c r="M233" s="37"/>
      <c r="N233" s="37"/>
      <c r="O233" s="37"/>
      <c r="P233" s="37"/>
    </row>
    <row r="234" spans="1:16" s="38" customFormat="1">
      <c r="A234" s="41"/>
      <c r="L234" s="37"/>
      <c r="M234" s="37"/>
      <c r="N234" s="37"/>
      <c r="O234" s="37"/>
      <c r="P234" s="37"/>
    </row>
    <row r="235" spans="1:16" s="38" customFormat="1">
      <c r="A235" s="41"/>
      <c r="L235" s="37"/>
      <c r="M235" s="37"/>
      <c r="N235" s="37"/>
      <c r="O235" s="37"/>
      <c r="P235" s="37"/>
    </row>
    <row r="236" spans="1:16" s="38" customFormat="1">
      <c r="A236" s="41"/>
      <c r="L236" s="37"/>
      <c r="M236" s="37"/>
      <c r="N236" s="37"/>
      <c r="O236" s="37"/>
      <c r="P236" s="37"/>
    </row>
    <row r="237" spans="1:16" s="38" customFormat="1">
      <c r="A237" s="41"/>
      <c r="L237" s="37"/>
      <c r="M237" s="37"/>
      <c r="N237" s="37"/>
      <c r="O237" s="37"/>
      <c r="P237" s="37"/>
    </row>
    <row r="238" spans="1:16" s="38" customFormat="1">
      <c r="A238" s="41"/>
      <c r="L238" s="37"/>
      <c r="M238" s="37"/>
      <c r="N238" s="37"/>
      <c r="O238" s="37"/>
      <c r="P238" s="37"/>
    </row>
    <row r="239" spans="1:16" s="38" customFormat="1">
      <c r="A239" s="41"/>
      <c r="L239" s="37"/>
      <c r="M239" s="37"/>
      <c r="N239" s="37"/>
      <c r="O239" s="37"/>
      <c r="P239" s="37"/>
    </row>
    <row r="240" spans="1:16" s="38" customFormat="1">
      <c r="A240" s="41"/>
      <c r="L240" s="37"/>
      <c r="M240" s="37"/>
      <c r="N240" s="37"/>
      <c r="O240" s="37"/>
      <c r="P240" s="37"/>
    </row>
    <row r="241" spans="1:16" s="38" customFormat="1">
      <c r="A241" s="41"/>
      <c r="L241" s="37"/>
      <c r="M241" s="37"/>
      <c r="N241" s="37"/>
      <c r="O241" s="37"/>
      <c r="P241" s="37"/>
    </row>
    <row r="242" spans="1:16" s="38" customFormat="1">
      <c r="A242" s="41"/>
      <c r="L242" s="37"/>
      <c r="M242" s="37"/>
      <c r="N242" s="37"/>
      <c r="O242" s="37"/>
      <c r="P242" s="37"/>
    </row>
    <row r="243" spans="1:16" s="38" customFormat="1">
      <c r="A243" s="41"/>
      <c r="L243" s="37"/>
      <c r="M243" s="37"/>
      <c r="N243" s="37"/>
      <c r="O243" s="37"/>
      <c r="P243" s="37"/>
    </row>
    <row r="244" spans="1:16" s="38" customFormat="1">
      <c r="A244" s="41"/>
      <c r="L244" s="37"/>
      <c r="M244" s="37"/>
      <c r="N244" s="37"/>
      <c r="O244" s="37"/>
      <c r="P244" s="37"/>
    </row>
    <row r="245" spans="1:16" s="38" customFormat="1">
      <c r="A245" s="41"/>
      <c r="L245" s="37"/>
      <c r="M245" s="37"/>
      <c r="N245" s="37"/>
      <c r="O245" s="37"/>
      <c r="P245" s="37"/>
    </row>
    <row r="246" spans="1:16" s="38" customFormat="1">
      <c r="A246" s="41"/>
      <c r="L246" s="37"/>
      <c r="M246" s="37"/>
      <c r="N246" s="37"/>
      <c r="O246" s="37"/>
      <c r="P246" s="37"/>
    </row>
    <row r="247" spans="1:16" s="38" customFormat="1">
      <c r="A247" s="41"/>
      <c r="L247" s="37"/>
      <c r="M247" s="37"/>
      <c r="N247" s="37"/>
      <c r="O247" s="37"/>
      <c r="P247" s="37"/>
    </row>
    <row r="248" spans="1:16" s="38" customFormat="1">
      <c r="A248" s="41"/>
      <c r="L248" s="37"/>
      <c r="M248" s="37"/>
      <c r="N248" s="37"/>
      <c r="O248" s="37"/>
      <c r="P248" s="37"/>
    </row>
    <row r="249" spans="1:16" s="38" customFormat="1">
      <c r="A249" s="41"/>
      <c r="L249" s="37"/>
      <c r="M249" s="37"/>
      <c r="N249" s="37"/>
      <c r="O249" s="37"/>
      <c r="P249" s="37"/>
    </row>
    <row r="250" spans="1:16" s="38" customFormat="1">
      <c r="A250" s="41"/>
      <c r="L250" s="37"/>
      <c r="M250" s="37"/>
      <c r="N250" s="37"/>
      <c r="O250" s="37"/>
      <c r="P250" s="37"/>
    </row>
    <row r="251" spans="1:16" s="38" customFormat="1">
      <c r="A251" s="41"/>
      <c r="L251" s="37"/>
      <c r="M251" s="37"/>
      <c r="N251" s="37"/>
      <c r="O251" s="37"/>
      <c r="P251" s="37"/>
    </row>
    <row r="252" spans="1:16" s="38" customFormat="1">
      <c r="A252" s="41"/>
      <c r="L252" s="37"/>
      <c r="M252" s="37"/>
      <c r="N252" s="37"/>
      <c r="O252" s="37"/>
      <c r="P252" s="37"/>
    </row>
    <row r="253" spans="1:16" s="38" customFormat="1">
      <c r="A253" s="41"/>
      <c r="L253" s="37"/>
      <c r="M253" s="37"/>
      <c r="N253" s="37"/>
      <c r="O253" s="37"/>
      <c r="P253" s="37"/>
    </row>
    <row r="254" spans="1:16" s="38" customFormat="1">
      <c r="A254" s="41"/>
      <c r="L254" s="37"/>
      <c r="M254" s="37"/>
      <c r="N254" s="37"/>
      <c r="O254" s="37"/>
      <c r="P254" s="37"/>
    </row>
    <row r="255" spans="1:16" s="38" customFormat="1">
      <c r="A255" s="41"/>
      <c r="L255" s="37"/>
      <c r="M255" s="37"/>
      <c r="N255" s="37"/>
      <c r="O255" s="37"/>
      <c r="P255" s="37"/>
    </row>
    <row r="256" spans="1:16" s="38" customFormat="1">
      <c r="A256" s="41"/>
      <c r="L256" s="37"/>
      <c r="M256" s="37"/>
      <c r="N256" s="37"/>
      <c r="O256" s="37"/>
      <c r="P256" s="37"/>
    </row>
    <row r="257" spans="1:16" s="38" customFormat="1">
      <c r="A257" s="41"/>
      <c r="L257" s="37"/>
      <c r="M257" s="37"/>
      <c r="N257" s="37"/>
      <c r="O257" s="37"/>
      <c r="P257" s="37"/>
    </row>
    <row r="258" spans="1:16" s="38" customFormat="1">
      <c r="A258" s="41"/>
      <c r="L258" s="37"/>
      <c r="M258" s="37"/>
      <c r="N258" s="37"/>
      <c r="O258" s="37"/>
      <c r="P258" s="37"/>
    </row>
    <row r="259" spans="1:16" s="38" customFormat="1">
      <c r="A259" s="41"/>
      <c r="L259" s="37"/>
      <c r="M259" s="37"/>
      <c r="N259" s="37"/>
      <c r="O259" s="37"/>
      <c r="P259" s="37"/>
    </row>
    <row r="260" spans="1:16" s="38" customFormat="1">
      <c r="A260" s="41"/>
      <c r="L260" s="37"/>
      <c r="M260" s="37"/>
      <c r="N260" s="37"/>
      <c r="O260" s="37"/>
      <c r="P260" s="37"/>
    </row>
    <row r="261" spans="1:16" s="38" customFormat="1">
      <c r="A261" s="41"/>
      <c r="L261" s="37"/>
      <c r="M261" s="37"/>
      <c r="N261" s="37"/>
      <c r="O261" s="37"/>
      <c r="P261" s="37"/>
    </row>
    <row r="262" spans="1:16" s="38" customFormat="1">
      <c r="A262" s="41"/>
      <c r="L262" s="37"/>
      <c r="M262" s="37"/>
      <c r="N262" s="37"/>
      <c r="O262" s="37"/>
      <c r="P262" s="37"/>
    </row>
    <row r="263" spans="1:16" s="38" customFormat="1">
      <c r="A263" s="41"/>
      <c r="L263" s="37"/>
      <c r="M263" s="37"/>
      <c r="N263" s="37"/>
      <c r="O263" s="37"/>
      <c r="P263" s="37"/>
    </row>
    <row r="264" spans="1:16" s="38" customFormat="1">
      <c r="A264" s="41"/>
      <c r="L264" s="37"/>
      <c r="M264" s="37"/>
      <c r="N264" s="37"/>
      <c r="O264" s="37"/>
      <c r="P264" s="37"/>
    </row>
    <row r="265" spans="1:16" s="38" customFormat="1">
      <c r="A265" s="41"/>
      <c r="L265" s="37"/>
      <c r="M265" s="37"/>
      <c r="N265" s="37"/>
      <c r="O265" s="37"/>
      <c r="P265" s="37"/>
    </row>
    <row r="266" spans="1:16" s="38" customFormat="1">
      <c r="A266" s="41"/>
      <c r="L266" s="37"/>
      <c r="M266" s="37"/>
      <c r="N266" s="37"/>
      <c r="O266" s="37"/>
      <c r="P266" s="37"/>
    </row>
    <row r="267" spans="1:16" s="38" customFormat="1">
      <c r="A267" s="41"/>
      <c r="L267" s="37"/>
      <c r="M267" s="37"/>
      <c r="N267" s="37"/>
      <c r="O267" s="37"/>
      <c r="P267" s="37"/>
    </row>
    <row r="268" spans="1:16" s="38" customFormat="1">
      <c r="A268" s="41"/>
      <c r="L268" s="37"/>
      <c r="M268" s="37"/>
      <c r="N268" s="37"/>
      <c r="O268" s="37"/>
      <c r="P268" s="37"/>
    </row>
    <row r="269" spans="1:16" s="38" customFormat="1">
      <c r="A269" s="41"/>
      <c r="L269" s="37"/>
      <c r="M269" s="37"/>
      <c r="N269" s="37"/>
      <c r="O269" s="37"/>
      <c r="P269" s="37"/>
    </row>
    <row r="270" spans="1:16" s="38" customFormat="1">
      <c r="A270" s="41"/>
      <c r="L270" s="37"/>
      <c r="M270" s="37"/>
      <c r="N270" s="37"/>
      <c r="O270" s="37"/>
      <c r="P270" s="37"/>
    </row>
    <row r="271" spans="1:16" s="38" customFormat="1">
      <c r="A271" s="41"/>
      <c r="L271" s="37"/>
      <c r="M271" s="37"/>
      <c r="N271" s="37"/>
      <c r="O271" s="37"/>
      <c r="P271" s="37"/>
    </row>
    <row r="272" spans="1:16" s="38" customFormat="1">
      <c r="A272" s="41"/>
      <c r="L272" s="37"/>
      <c r="M272" s="37"/>
      <c r="N272" s="37"/>
      <c r="O272" s="37"/>
      <c r="P272" s="37"/>
    </row>
    <row r="273" spans="1:16" s="38" customFormat="1">
      <c r="A273" s="41"/>
      <c r="L273" s="37"/>
      <c r="M273" s="37"/>
      <c r="N273" s="37"/>
      <c r="O273" s="37"/>
      <c r="P273" s="37"/>
    </row>
    <row r="274" spans="1:16" s="38" customFormat="1">
      <c r="A274" s="41"/>
      <c r="L274" s="37"/>
      <c r="M274" s="37"/>
      <c r="N274" s="37"/>
      <c r="O274" s="37"/>
      <c r="P274" s="37"/>
    </row>
    <row r="275" spans="1:16" s="38" customFormat="1">
      <c r="A275" s="41"/>
      <c r="L275" s="37"/>
      <c r="M275" s="37"/>
      <c r="N275" s="37"/>
      <c r="O275" s="37"/>
      <c r="P275" s="37"/>
    </row>
    <row r="276" spans="1:16" s="38" customFormat="1">
      <c r="A276" s="41"/>
      <c r="L276" s="37"/>
      <c r="M276" s="37"/>
      <c r="N276" s="37"/>
      <c r="O276" s="37"/>
      <c r="P276" s="37"/>
    </row>
    <row r="277" spans="1:16" s="38" customFormat="1">
      <c r="A277" s="41"/>
      <c r="L277" s="37"/>
      <c r="M277" s="37"/>
      <c r="N277" s="37"/>
      <c r="O277" s="37"/>
      <c r="P277" s="37"/>
    </row>
    <row r="278" spans="1:16" s="38" customFormat="1">
      <c r="A278" s="41"/>
      <c r="L278" s="37"/>
      <c r="M278" s="37"/>
      <c r="N278" s="37"/>
      <c r="O278" s="37"/>
      <c r="P278" s="37"/>
    </row>
    <row r="279" spans="1:16" s="38" customFormat="1">
      <c r="A279" s="41"/>
      <c r="L279" s="37"/>
      <c r="M279" s="37"/>
      <c r="N279" s="37"/>
      <c r="O279" s="37"/>
      <c r="P279" s="37"/>
    </row>
    <row r="280" spans="1:16" s="38" customFormat="1">
      <c r="A280" s="41"/>
      <c r="L280" s="37"/>
      <c r="M280" s="37"/>
      <c r="N280" s="37"/>
      <c r="O280" s="37"/>
      <c r="P280" s="37"/>
    </row>
    <row r="281" spans="1:16" s="38" customFormat="1">
      <c r="A281" s="41"/>
      <c r="L281" s="37"/>
      <c r="M281" s="37"/>
      <c r="N281" s="37"/>
      <c r="O281" s="37"/>
      <c r="P281" s="37"/>
    </row>
    <row r="282" spans="1:16" s="38" customFormat="1">
      <c r="A282" s="41"/>
      <c r="L282" s="37"/>
      <c r="M282" s="37"/>
      <c r="N282" s="37"/>
      <c r="O282" s="37"/>
      <c r="P282" s="37"/>
    </row>
    <row r="283" spans="1:16" s="38" customFormat="1">
      <c r="A283" s="41"/>
      <c r="L283" s="37"/>
      <c r="M283" s="37"/>
      <c r="N283" s="37"/>
      <c r="O283" s="37"/>
      <c r="P283" s="37"/>
    </row>
    <row r="284" spans="1:16" s="38" customFormat="1">
      <c r="A284" s="41"/>
      <c r="L284" s="37"/>
      <c r="M284" s="37"/>
      <c r="N284" s="37"/>
      <c r="O284" s="37"/>
      <c r="P284" s="37"/>
    </row>
    <row r="285" spans="1:16" s="38" customFormat="1">
      <c r="A285" s="41"/>
      <c r="L285" s="37"/>
      <c r="M285" s="37"/>
      <c r="N285" s="37"/>
      <c r="O285" s="37"/>
      <c r="P285" s="37"/>
    </row>
    <row r="286" spans="1:16" s="38" customFormat="1">
      <c r="A286" s="41"/>
      <c r="L286" s="37"/>
      <c r="M286" s="37"/>
      <c r="N286" s="37"/>
      <c r="O286" s="37"/>
      <c r="P286" s="37"/>
    </row>
    <row r="287" spans="1:16" s="38" customFormat="1">
      <c r="A287" s="41"/>
      <c r="L287" s="37"/>
      <c r="M287" s="37"/>
      <c r="N287" s="37"/>
      <c r="O287" s="37"/>
      <c r="P287" s="37"/>
    </row>
    <row r="288" spans="1:16" s="38" customFormat="1">
      <c r="A288" s="41"/>
      <c r="L288" s="37"/>
      <c r="M288" s="37"/>
      <c r="N288" s="37"/>
      <c r="O288" s="37"/>
      <c r="P288" s="37"/>
    </row>
    <row r="289" spans="1:16" s="38" customFormat="1">
      <c r="A289" s="41"/>
      <c r="L289" s="37"/>
      <c r="M289" s="37"/>
      <c r="N289" s="37"/>
      <c r="O289" s="37"/>
      <c r="P289" s="37"/>
    </row>
    <row r="290" spans="1:16" s="38" customFormat="1">
      <c r="A290" s="41"/>
      <c r="L290" s="37"/>
      <c r="M290" s="37"/>
      <c r="N290" s="37"/>
      <c r="O290" s="37"/>
      <c r="P290" s="37"/>
    </row>
    <row r="291" spans="1:16" s="38" customFormat="1">
      <c r="A291" s="41"/>
      <c r="L291" s="37"/>
      <c r="M291" s="37"/>
      <c r="N291" s="37"/>
      <c r="O291" s="37"/>
      <c r="P291" s="37"/>
    </row>
    <row r="292" spans="1:16" s="38" customFormat="1">
      <c r="A292" s="41"/>
      <c r="L292" s="37"/>
      <c r="M292" s="37"/>
      <c r="N292" s="37"/>
      <c r="O292" s="37"/>
      <c r="P292" s="37"/>
    </row>
    <row r="293" spans="1:16" s="38" customFormat="1">
      <c r="A293" s="41"/>
      <c r="L293" s="37"/>
      <c r="M293" s="37"/>
      <c r="N293" s="37"/>
      <c r="O293" s="37"/>
      <c r="P293" s="37"/>
    </row>
    <row r="294" spans="1:16" s="38" customFormat="1">
      <c r="A294" s="41"/>
      <c r="L294" s="37"/>
      <c r="M294" s="37"/>
      <c r="N294" s="37"/>
      <c r="O294" s="37"/>
      <c r="P294" s="37"/>
    </row>
    <row r="295" spans="1:16" s="38" customFormat="1">
      <c r="A295" s="41"/>
      <c r="L295" s="37"/>
      <c r="M295" s="37"/>
      <c r="N295" s="37"/>
      <c r="O295" s="37"/>
      <c r="P295" s="37"/>
    </row>
    <row r="296" spans="1:16" s="38" customFormat="1">
      <c r="A296" s="41"/>
      <c r="L296" s="37"/>
      <c r="M296" s="37"/>
      <c r="N296" s="37"/>
      <c r="O296" s="37"/>
      <c r="P296" s="37"/>
    </row>
    <row r="297" spans="1:16" s="38" customFormat="1">
      <c r="A297" s="41"/>
      <c r="L297" s="37"/>
      <c r="M297" s="37"/>
      <c r="N297" s="37"/>
      <c r="O297" s="37"/>
      <c r="P297" s="37"/>
    </row>
    <row r="298" spans="1:16" s="38" customFormat="1">
      <c r="A298" s="41"/>
      <c r="L298" s="37"/>
      <c r="M298" s="37"/>
      <c r="N298" s="37"/>
      <c r="O298" s="37"/>
      <c r="P298" s="37"/>
    </row>
    <row r="299" spans="1:16" s="38" customFormat="1">
      <c r="A299" s="41"/>
      <c r="L299" s="37"/>
      <c r="M299" s="37"/>
      <c r="N299" s="37"/>
      <c r="O299" s="37"/>
      <c r="P299" s="37"/>
    </row>
    <row r="300" spans="1:16" s="38" customFormat="1">
      <c r="A300" s="41"/>
      <c r="L300" s="37"/>
      <c r="M300" s="37"/>
      <c r="N300" s="37"/>
      <c r="O300" s="37"/>
      <c r="P300" s="37"/>
    </row>
    <row r="301" spans="1:16" s="38" customFormat="1">
      <c r="A301" s="41"/>
      <c r="L301" s="37"/>
      <c r="M301" s="37"/>
      <c r="N301" s="37"/>
      <c r="O301" s="37"/>
      <c r="P301" s="37"/>
    </row>
    <row r="302" spans="1:16" s="38" customFormat="1">
      <c r="A302" s="41"/>
      <c r="L302" s="37"/>
      <c r="M302" s="37"/>
      <c r="N302" s="37"/>
      <c r="O302" s="37"/>
      <c r="P302" s="37"/>
    </row>
    <row r="303" spans="1:16" s="38" customFormat="1">
      <c r="A303" s="41"/>
      <c r="L303" s="37"/>
      <c r="M303" s="37"/>
      <c r="N303" s="37"/>
      <c r="O303" s="37"/>
      <c r="P303" s="37"/>
    </row>
    <row r="304" spans="1:16" s="38" customFormat="1">
      <c r="A304" s="41"/>
      <c r="L304" s="37"/>
      <c r="M304" s="37"/>
      <c r="N304" s="37"/>
      <c r="O304" s="37"/>
      <c r="P304" s="37"/>
    </row>
    <row r="305" spans="1:16" s="38" customFormat="1">
      <c r="A305" s="41"/>
      <c r="L305" s="37"/>
      <c r="M305" s="37"/>
      <c r="N305" s="37"/>
      <c r="O305" s="37"/>
      <c r="P305" s="37"/>
    </row>
    <row r="306" spans="1:16" s="38" customFormat="1">
      <c r="A306" s="41"/>
      <c r="L306" s="37"/>
      <c r="M306" s="37"/>
      <c r="N306" s="37"/>
      <c r="O306" s="37"/>
      <c r="P306" s="37"/>
    </row>
    <row r="307" spans="1:16" s="38" customFormat="1">
      <c r="A307" s="41"/>
      <c r="L307" s="37"/>
      <c r="M307" s="37"/>
      <c r="N307" s="37"/>
      <c r="O307" s="37"/>
      <c r="P307" s="37"/>
    </row>
    <row r="308" spans="1:16" s="38" customFormat="1">
      <c r="A308" s="41"/>
      <c r="L308" s="37"/>
      <c r="M308" s="37"/>
      <c r="N308" s="37"/>
      <c r="O308" s="37"/>
      <c r="P308" s="37"/>
    </row>
    <row r="309" spans="1:16" s="38" customFormat="1">
      <c r="A309" s="41"/>
      <c r="L309" s="37"/>
      <c r="M309" s="37"/>
      <c r="N309" s="37"/>
      <c r="O309" s="37"/>
      <c r="P309" s="37"/>
    </row>
    <row r="310" spans="1:16" s="38" customFormat="1">
      <c r="A310" s="41"/>
      <c r="L310" s="37"/>
      <c r="M310" s="37"/>
      <c r="N310" s="37"/>
      <c r="O310" s="37"/>
      <c r="P310" s="37"/>
    </row>
    <row r="311" spans="1:16" s="38" customFormat="1">
      <c r="A311" s="41"/>
      <c r="L311" s="37"/>
      <c r="M311" s="37"/>
      <c r="N311" s="37"/>
      <c r="O311" s="37"/>
      <c r="P311" s="37"/>
    </row>
    <row r="312" spans="1:16" s="38" customFormat="1">
      <c r="A312" s="41"/>
      <c r="L312" s="37"/>
      <c r="M312" s="37"/>
      <c r="N312" s="37"/>
      <c r="O312" s="37"/>
      <c r="P312" s="37"/>
    </row>
    <row r="313" spans="1:16" s="38" customFormat="1">
      <c r="A313" s="41"/>
      <c r="L313" s="37"/>
      <c r="M313" s="37"/>
      <c r="N313" s="37"/>
      <c r="O313" s="37"/>
      <c r="P313" s="37"/>
    </row>
    <row r="314" spans="1:16" s="38" customFormat="1">
      <c r="A314" s="41"/>
      <c r="L314" s="37"/>
      <c r="M314" s="37"/>
      <c r="N314" s="37"/>
      <c r="O314" s="37"/>
      <c r="P314" s="37"/>
    </row>
    <row r="315" spans="1:16" s="38" customFormat="1">
      <c r="A315" s="41"/>
      <c r="L315" s="37"/>
      <c r="M315" s="37"/>
      <c r="N315" s="37"/>
      <c r="O315" s="37"/>
      <c r="P315" s="37"/>
    </row>
    <row r="316" spans="1:16" s="38" customFormat="1">
      <c r="A316" s="41"/>
      <c r="L316" s="37"/>
      <c r="M316" s="37"/>
      <c r="N316" s="37"/>
      <c r="O316" s="37"/>
      <c r="P316" s="37"/>
    </row>
    <row r="317" spans="1:16" s="38" customFormat="1">
      <c r="A317" s="41"/>
      <c r="L317" s="37"/>
      <c r="M317" s="37"/>
      <c r="N317" s="37"/>
      <c r="O317" s="37"/>
      <c r="P317" s="37"/>
    </row>
    <row r="318" spans="1:16" s="38" customFormat="1">
      <c r="A318" s="41"/>
      <c r="L318" s="37"/>
      <c r="M318" s="37"/>
      <c r="N318" s="37"/>
      <c r="O318" s="37"/>
      <c r="P318" s="37"/>
    </row>
    <row r="319" spans="1:16" s="38" customFormat="1">
      <c r="A319" s="41"/>
      <c r="L319" s="37"/>
      <c r="M319" s="37"/>
      <c r="N319" s="37"/>
      <c r="O319" s="37"/>
      <c r="P319" s="37"/>
    </row>
    <row r="320" spans="1:16" s="38" customFormat="1">
      <c r="A320" s="41"/>
      <c r="L320" s="37"/>
      <c r="M320" s="37"/>
      <c r="N320" s="37"/>
      <c r="O320" s="37"/>
      <c r="P320" s="37"/>
    </row>
    <row r="321" spans="1:16" s="38" customFormat="1">
      <c r="A321" s="41"/>
      <c r="L321" s="37"/>
      <c r="M321" s="37"/>
      <c r="N321" s="37"/>
      <c r="O321" s="37"/>
      <c r="P321" s="37"/>
    </row>
    <row r="322" spans="1:16" s="38" customFormat="1">
      <c r="A322" s="41"/>
      <c r="L322" s="37"/>
      <c r="M322" s="37"/>
      <c r="N322" s="37"/>
      <c r="O322" s="37"/>
      <c r="P322" s="37"/>
    </row>
    <row r="323" spans="1:16" s="38" customFormat="1">
      <c r="A323" s="41"/>
      <c r="L323" s="37"/>
      <c r="M323" s="37"/>
      <c r="N323" s="37"/>
      <c r="O323" s="37"/>
      <c r="P323" s="37"/>
    </row>
    <row r="324" spans="1:16" s="38" customFormat="1">
      <c r="A324" s="41"/>
      <c r="L324" s="37"/>
      <c r="M324" s="37"/>
      <c r="N324" s="37"/>
      <c r="O324" s="37"/>
      <c r="P324" s="37"/>
    </row>
    <row r="325" spans="1:16" s="38" customFormat="1">
      <c r="A325" s="41"/>
      <c r="L325" s="37"/>
      <c r="M325" s="37"/>
      <c r="N325" s="37"/>
      <c r="O325" s="37"/>
      <c r="P325" s="37"/>
    </row>
    <row r="326" spans="1:16" s="38" customFormat="1">
      <c r="A326" s="41"/>
      <c r="L326" s="37"/>
      <c r="M326" s="37"/>
      <c r="N326" s="37"/>
      <c r="O326" s="37"/>
      <c r="P326" s="37"/>
    </row>
    <row r="327" spans="1:16" s="38" customFormat="1">
      <c r="A327" s="41"/>
      <c r="L327" s="37"/>
      <c r="M327" s="37"/>
      <c r="N327" s="37"/>
      <c r="O327" s="37"/>
      <c r="P327" s="37"/>
    </row>
    <row r="328" spans="1:16" s="38" customFormat="1">
      <c r="A328" s="41"/>
      <c r="L328" s="37"/>
      <c r="M328" s="37"/>
      <c r="N328" s="37"/>
      <c r="O328" s="37"/>
      <c r="P328" s="37"/>
    </row>
    <row r="329" spans="1:16" s="38" customFormat="1">
      <c r="A329" s="41"/>
      <c r="L329" s="37"/>
      <c r="M329" s="37"/>
      <c r="N329" s="37"/>
      <c r="O329" s="37"/>
      <c r="P329" s="37"/>
    </row>
    <row r="330" spans="1:16" s="38" customFormat="1">
      <c r="A330" s="41"/>
      <c r="L330" s="37"/>
      <c r="M330" s="37"/>
      <c r="N330" s="37"/>
      <c r="O330" s="37"/>
      <c r="P330" s="37"/>
    </row>
    <row r="331" spans="1:16" s="38" customFormat="1">
      <c r="A331" s="41"/>
      <c r="L331" s="37"/>
      <c r="M331" s="37"/>
      <c r="N331" s="37"/>
      <c r="O331" s="37"/>
      <c r="P331" s="37"/>
    </row>
    <row r="332" spans="1:16" s="38" customFormat="1">
      <c r="A332" s="41"/>
      <c r="L332" s="37"/>
      <c r="M332" s="37"/>
      <c r="N332" s="37"/>
      <c r="O332" s="37"/>
      <c r="P332" s="37"/>
    </row>
    <row r="333" spans="1:16" s="38" customFormat="1">
      <c r="A333" s="41"/>
      <c r="L333" s="37"/>
      <c r="M333" s="37"/>
      <c r="N333" s="37"/>
      <c r="O333" s="37"/>
      <c r="P333" s="37"/>
    </row>
    <row r="334" spans="1:16" s="38" customFormat="1">
      <c r="A334" s="41"/>
      <c r="L334" s="37"/>
      <c r="M334" s="37"/>
      <c r="N334" s="37"/>
      <c r="O334" s="37"/>
      <c r="P334" s="37"/>
    </row>
    <row r="335" spans="1:16" s="38" customFormat="1">
      <c r="A335" s="41"/>
      <c r="L335" s="37"/>
      <c r="M335" s="37"/>
      <c r="N335" s="37"/>
      <c r="O335" s="37"/>
      <c r="P335" s="37"/>
    </row>
    <row r="336" spans="1:16" s="38" customFormat="1">
      <c r="A336" s="41"/>
      <c r="L336" s="37"/>
      <c r="M336" s="37"/>
      <c r="N336" s="37"/>
      <c r="O336" s="37"/>
      <c r="P336" s="37"/>
    </row>
    <row r="337" spans="1:16" s="38" customFormat="1">
      <c r="A337" s="41"/>
      <c r="L337" s="37"/>
      <c r="M337" s="37"/>
      <c r="N337" s="37"/>
      <c r="O337" s="37"/>
      <c r="P337" s="37"/>
    </row>
    <row r="338" spans="1:16" s="38" customFormat="1">
      <c r="A338" s="41"/>
      <c r="L338" s="37"/>
      <c r="M338" s="37"/>
      <c r="N338" s="37"/>
      <c r="O338" s="37"/>
      <c r="P338" s="37"/>
    </row>
    <row r="339" spans="1:16" s="38" customFormat="1">
      <c r="A339" s="41"/>
      <c r="L339" s="37"/>
      <c r="M339" s="37"/>
      <c r="N339" s="37"/>
      <c r="O339" s="37"/>
      <c r="P339" s="37"/>
    </row>
    <row r="340" spans="1:16" s="38" customFormat="1">
      <c r="A340" s="41"/>
      <c r="L340" s="37"/>
      <c r="M340" s="37"/>
      <c r="N340" s="37"/>
      <c r="O340" s="37"/>
      <c r="P340" s="37"/>
    </row>
    <row r="341" spans="1:16" s="38" customFormat="1">
      <c r="A341" s="41"/>
      <c r="L341" s="37"/>
      <c r="M341" s="37"/>
      <c r="N341" s="37"/>
      <c r="O341" s="37"/>
      <c r="P341" s="37"/>
    </row>
    <row r="342" spans="1:16" s="38" customFormat="1">
      <c r="A342" s="41"/>
      <c r="L342" s="37"/>
      <c r="M342" s="37"/>
      <c r="N342" s="37"/>
      <c r="O342" s="37"/>
      <c r="P342" s="37"/>
    </row>
    <row r="343" spans="1:16" s="38" customFormat="1">
      <c r="A343" s="41"/>
      <c r="L343" s="37"/>
      <c r="M343" s="37"/>
      <c r="N343" s="37"/>
      <c r="O343" s="37"/>
      <c r="P343" s="37"/>
    </row>
    <row r="344" spans="1:16" s="38" customFormat="1">
      <c r="A344" s="41"/>
      <c r="L344" s="37"/>
      <c r="M344" s="37"/>
      <c r="N344" s="37"/>
      <c r="O344" s="37"/>
      <c r="P344" s="37"/>
    </row>
    <row r="345" spans="1:16" s="38" customFormat="1">
      <c r="A345" s="41"/>
      <c r="L345" s="37"/>
      <c r="M345" s="37"/>
      <c r="N345" s="37"/>
      <c r="O345" s="37"/>
      <c r="P345" s="37"/>
    </row>
    <row r="346" spans="1:16" s="38" customFormat="1">
      <c r="A346" s="41"/>
      <c r="L346" s="37"/>
      <c r="M346" s="37"/>
      <c r="N346" s="37"/>
      <c r="O346" s="37"/>
      <c r="P346" s="37"/>
    </row>
    <row r="347" spans="1:16" s="38" customFormat="1">
      <c r="A347" s="41"/>
      <c r="L347" s="37"/>
      <c r="M347" s="37"/>
      <c r="N347" s="37"/>
      <c r="O347" s="37"/>
      <c r="P347" s="37"/>
    </row>
    <row r="348" spans="1:16" s="38" customFormat="1">
      <c r="A348" s="41"/>
      <c r="L348" s="37"/>
      <c r="M348" s="37"/>
      <c r="N348" s="37"/>
      <c r="O348" s="37"/>
      <c r="P348" s="37"/>
    </row>
    <row r="349" spans="1:16" s="38" customFormat="1">
      <c r="A349" s="41"/>
      <c r="L349" s="37"/>
      <c r="M349" s="37"/>
      <c r="N349" s="37"/>
      <c r="O349" s="37"/>
      <c r="P349" s="37"/>
    </row>
    <row r="350" spans="1:16" s="38" customFormat="1">
      <c r="A350" s="41"/>
      <c r="L350" s="37"/>
      <c r="M350" s="37"/>
      <c r="N350" s="37"/>
      <c r="O350" s="37"/>
      <c r="P350" s="37"/>
    </row>
    <row r="351" spans="1:16" s="38" customFormat="1">
      <c r="A351" s="41"/>
      <c r="L351" s="37"/>
      <c r="M351" s="37"/>
      <c r="N351" s="37"/>
      <c r="O351" s="37"/>
      <c r="P351" s="37"/>
    </row>
    <row r="352" spans="1:16" s="38" customFormat="1">
      <c r="A352" s="41"/>
      <c r="L352" s="37"/>
      <c r="M352" s="37"/>
      <c r="N352" s="37"/>
      <c r="O352" s="37"/>
      <c r="P352" s="37"/>
    </row>
    <row r="353" spans="1:16" s="38" customFormat="1">
      <c r="A353" s="41"/>
      <c r="L353" s="37"/>
      <c r="M353" s="37"/>
      <c r="N353" s="37"/>
      <c r="O353" s="37"/>
      <c r="P353" s="37"/>
    </row>
    <row r="354" spans="1:16" s="38" customFormat="1">
      <c r="A354" s="41"/>
      <c r="L354" s="37"/>
      <c r="M354" s="37"/>
      <c r="N354" s="37"/>
      <c r="O354" s="37"/>
      <c r="P354" s="37"/>
    </row>
    <row r="355" spans="1:16" s="38" customFormat="1">
      <c r="A355" s="41"/>
      <c r="L355" s="37"/>
      <c r="M355" s="37"/>
      <c r="N355" s="37"/>
      <c r="O355" s="37"/>
      <c r="P355" s="37"/>
    </row>
    <row r="356" spans="1:16" s="38" customFormat="1">
      <c r="A356" s="41"/>
      <c r="L356" s="37"/>
      <c r="M356" s="37"/>
      <c r="N356" s="37"/>
      <c r="O356" s="37"/>
      <c r="P356" s="37"/>
    </row>
    <row r="357" spans="1:16" s="38" customFormat="1">
      <c r="A357" s="41"/>
      <c r="L357" s="37"/>
      <c r="M357" s="37"/>
      <c r="N357" s="37"/>
      <c r="O357" s="37"/>
      <c r="P357" s="37"/>
    </row>
    <row r="358" spans="1:16" s="38" customFormat="1">
      <c r="A358" s="41"/>
      <c r="L358" s="37"/>
      <c r="M358" s="37"/>
      <c r="N358" s="37"/>
      <c r="O358" s="37"/>
      <c r="P358" s="37"/>
    </row>
    <row r="359" spans="1:16" s="38" customFormat="1">
      <c r="A359" s="41"/>
      <c r="L359" s="37"/>
      <c r="M359" s="37"/>
      <c r="N359" s="37"/>
      <c r="O359" s="37"/>
      <c r="P359" s="37"/>
    </row>
    <row r="360" spans="1:16" s="38" customFormat="1">
      <c r="A360" s="41"/>
      <c r="L360" s="37"/>
      <c r="M360" s="37"/>
      <c r="N360" s="37"/>
      <c r="O360" s="37"/>
      <c r="P360" s="37"/>
    </row>
    <row r="361" spans="1:16" s="38" customFormat="1">
      <c r="A361" s="41"/>
      <c r="L361" s="37"/>
      <c r="M361" s="37"/>
      <c r="N361" s="37"/>
      <c r="O361" s="37"/>
      <c r="P361" s="37"/>
    </row>
    <row r="362" spans="1:16" s="38" customFormat="1">
      <c r="A362" s="41"/>
      <c r="L362" s="37"/>
      <c r="M362" s="37"/>
      <c r="N362" s="37"/>
      <c r="O362" s="37"/>
      <c r="P362" s="37"/>
    </row>
    <row r="363" spans="1:16" s="38" customFormat="1">
      <c r="A363" s="41"/>
      <c r="L363" s="37"/>
      <c r="M363" s="37"/>
      <c r="N363" s="37"/>
      <c r="O363" s="37"/>
      <c r="P363" s="37"/>
    </row>
    <row r="364" spans="1:16" s="38" customFormat="1">
      <c r="A364" s="41"/>
      <c r="L364" s="37"/>
      <c r="M364" s="37"/>
      <c r="N364" s="37"/>
      <c r="O364" s="37"/>
      <c r="P364" s="37"/>
    </row>
    <row r="365" spans="1:16" s="38" customFormat="1">
      <c r="A365" s="41"/>
      <c r="L365" s="37"/>
      <c r="M365" s="37"/>
      <c r="N365" s="37"/>
      <c r="O365" s="37"/>
      <c r="P365" s="37"/>
    </row>
    <row r="366" spans="1:16" s="38" customFormat="1">
      <c r="A366" s="41"/>
      <c r="L366" s="37"/>
      <c r="M366" s="37"/>
      <c r="N366" s="37"/>
      <c r="O366" s="37"/>
      <c r="P366" s="37"/>
    </row>
    <row r="367" spans="1:16" s="38" customFormat="1">
      <c r="A367" s="41"/>
      <c r="L367" s="37"/>
      <c r="M367" s="37"/>
      <c r="N367" s="37"/>
      <c r="O367" s="37"/>
      <c r="P367" s="37"/>
    </row>
    <row r="368" spans="1:16" s="38" customFormat="1">
      <c r="A368" s="41"/>
      <c r="L368" s="37"/>
      <c r="M368" s="37"/>
      <c r="N368" s="37"/>
      <c r="O368" s="37"/>
      <c r="P368" s="37"/>
    </row>
    <row r="369" spans="1:16" s="38" customFormat="1">
      <c r="A369" s="41"/>
      <c r="L369" s="37"/>
      <c r="M369" s="37"/>
      <c r="N369" s="37"/>
      <c r="O369" s="37"/>
      <c r="P369" s="37"/>
    </row>
    <row r="370" spans="1:16" s="38" customFormat="1">
      <c r="A370" s="41"/>
      <c r="L370" s="37"/>
      <c r="M370" s="37"/>
      <c r="N370" s="37"/>
      <c r="O370" s="37"/>
      <c r="P370" s="37"/>
    </row>
    <row r="371" spans="1:16" s="38" customFormat="1">
      <c r="A371" s="41"/>
      <c r="L371" s="37"/>
      <c r="M371" s="37"/>
      <c r="N371" s="37"/>
      <c r="O371" s="37"/>
      <c r="P371" s="37"/>
    </row>
    <row r="372" spans="1:16" s="38" customFormat="1">
      <c r="A372" s="41"/>
      <c r="L372" s="37"/>
      <c r="M372" s="37"/>
      <c r="N372" s="37"/>
      <c r="O372" s="37"/>
      <c r="P372" s="37"/>
    </row>
    <row r="373" spans="1:16" s="38" customFormat="1">
      <c r="A373" s="41"/>
      <c r="L373" s="37"/>
      <c r="M373" s="37"/>
      <c r="N373" s="37"/>
      <c r="O373" s="37"/>
      <c r="P373" s="37"/>
    </row>
    <row r="374" spans="1:16" s="38" customFormat="1">
      <c r="A374" s="41"/>
      <c r="L374" s="37"/>
      <c r="M374" s="37"/>
      <c r="N374" s="37"/>
      <c r="O374" s="37"/>
      <c r="P374" s="37"/>
    </row>
    <row r="375" spans="1:16" s="38" customFormat="1">
      <c r="A375" s="41"/>
      <c r="L375" s="37"/>
      <c r="M375" s="37"/>
      <c r="N375" s="37"/>
      <c r="O375" s="37"/>
      <c r="P375" s="37"/>
    </row>
    <row r="376" spans="1:16" s="38" customFormat="1">
      <c r="A376" s="41"/>
      <c r="L376" s="37"/>
      <c r="M376" s="37"/>
      <c r="N376" s="37"/>
      <c r="O376" s="37"/>
      <c r="P376" s="37"/>
    </row>
    <row r="377" spans="1:16" s="38" customFormat="1">
      <c r="A377" s="41"/>
      <c r="L377" s="37"/>
      <c r="M377" s="37"/>
      <c r="N377" s="37"/>
      <c r="O377" s="37"/>
      <c r="P377" s="37"/>
    </row>
    <row r="378" spans="1:16" s="38" customFormat="1">
      <c r="A378" s="41"/>
      <c r="L378" s="37"/>
      <c r="M378" s="37"/>
      <c r="N378" s="37"/>
      <c r="O378" s="37"/>
      <c r="P378" s="37"/>
    </row>
    <row r="379" spans="1:16" s="38" customFormat="1">
      <c r="A379" s="41"/>
      <c r="L379" s="37"/>
      <c r="M379" s="37"/>
      <c r="N379" s="37"/>
      <c r="O379" s="37"/>
      <c r="P379" s="37"/>
    </row>
    <row r="380" spans="1:16" s="38" customFormat="1">
      <c r="A380" s="41"/>
      <c r="L380" s="37"/>
      <c r="M380" s="37"/>
      <c r="N380" s="37"/>
      <c r="O380" s="37"/>
      <c r="P380" s="37"/>
    </row>
    <row r="381" spans="1:16" s="38" customFormat="1">
      <c r="A381" s="41"/>
      <c r="L381" s="37"/>
      <c r="M381" s="37"/>
      <c r="N381" s="37"/>
      <c r="O381" s="37"/>
      <c r="P381" s="37"/>
    </row>
    <row r="382" spans="1:16" s="38" customFormat="1">
      <c r="A382" s="41"/>
      <c r="L382" s="37"/>
      <c r="M382" s="37"/>
      <c r="N382" s="37"/>
      <c r="O382" s="37"/>
      <c r="P382" s="37"/>
    </row>
    <row r="383" spans="1:16" s="38" customFormat="1">
      <c r="A383" s="41"/>
      <c r="L383" s="37"/>
      <c r="M383" s="37"/>
      <c r="N383" s="37"/>
      <c r="O383" s="37"/>
      <c r="P383" s="37"/>
    </row>
    <row r="384" spans="1:16" s="38" customFormat="1">
      <c r="A384" s="41"/>
      <c r="L384" s="37"/>
      <c r="M384" s="37"/>
      <c r="N384" s="37"/>
      <c r="O384" s="37"/>
      <c r="P384" s="37"/>
    </row>
    <row r="385" spans="1:16" s="38" customFormat="1">
      <c r="A385" s="41"/>
      <c r="L385" s="37"/>
      <c r="M385" s="37"/>
      <c r="N385" s="37"/>
      <c r="O385" s="37"/>
      <c r="P385" s="37"/>
    </row>
    <row r="386" spans="1:16" s="38" customFormat="1">
      <c r="A386" s="41"/>
      <c r="L386" s="37"/>
      <c r="M386" s="37"/>
      <c r="N386" s="37"/>
      <c r="O386" s="37"/>
      <c r="P386" s="37"/>
    </row>
    <row r="387" spans="1:16" s="38" customFormat="1">
      <c r="A387" s="41"/>
      <c r="L387" s="37"/>
      <c r="M387" s="37"/>
      <c r="N387" s="37"/>
      <c r="O387" s="37"/>
      <c r="P387" s="37"/>
    </row>
    <row r="388" spans="1:16" s="38" customFormat="1">
      <c r="A388" s="41"/>
      <c r="L388" s="37"/>
      <c r="M388" s="37"/>
      <c r="N388" s="37"/>
      <c r="O388" s="37"/>
      <c r="P388" s="37"/>
    </row>
    <row r="389" spans="1:16" s="38" customFormat="1">
      <c r="A389" s="41"/>
      <c r="L389" s="37"/>
      <c r="M389" s="37"/>
      <c r="N389" s="37"/>
      <c r="O389" s="37"/>
      <c r="P389" s="37"/>
    </row>
    <row r="390" spans="1:16" s="38" customFormat="1">
      <c r="A390" s="41"/>
      <c r="L390" s="37"/>
      <c r="M390" s="37"/>
      <c r="N390" s="37"/>
      <c r="O390" s="37"/>
      <c r="P390" s="37"/>
    </row>
    <row r="391" spans="1:16" s="38" customFormat="1">
      <c r="A391" s="41"/>
      <c r="L391" s="37"/>
      <c r="M391" s="37"/>
      <c r="N391" s="37"/>
      <c r="O391" s="37"/>
      <c r="P391" s="37"/>
    </row>
    <row r="392" spans="1:16" s="38" customFormat="1">
      <c r="A392" s="41"/>
      <c r="L392" s="37"/>
      <c r="M392" s="37"/>
      <c r="N392" s="37"/>
      <c r="O392" s="37"/>
      <c r="P392" s="37"/>
    </row>
    <row r="393" spans="1:16" s="38" customFormat="1">
      <c r="A393" s="41"/>
      <c r="L393" s="37"/>
      <c r="M393" s="37"/>
      <c r="N393" s="37"/>
      <c r="O393" s="37"/>
      <c r="P393" s="37"/>
    </row>
    <row r="394" spans="1:16" s="38" customFormat="1">
      <c r="A394" s="41"/>
      <c r="L394" s="37"/>
      <c r="M394" s="37"/>
      <c r="N394" s="37"/>
      <c r="O394" s="37"/>
      <c r="P394" s="37"/>
    </row>
    <row r="395" spans="1:16" s="38" customFormat="1">
      <c r="A395" s="41"/>
      <c r="L395" s="37"/>
      <c r="M395" s="37"/>
      <c r="N395" s="37"/>
      <c r="O395" s="37"/>
      <c r="P395" s="37"/>
    </row>
    <row r="396" spans="1:16" s="38" customFormat="1">
      <c r="A396" s="41"/>
      <c r="L396" s="37"/>
      <c r="M396" s="37"/>
      <c r="N396" s="37"/>
      <c r="O396" s="37"/>
      <c r="P396" s="37"/>
    </row>
    <row r="397" spans="1:16">
      <c r="L397" s="44"/>
      <c r="M397" s="44"/>
      <c r="N397" s="44"/>
      <c r="O397" s="44"/>
      <c r="P397" s="44"/>
    </row>
  </sheetData>
  <mergeCells count="113">
    <mergeCell ref="A165:C165"/>
    <mergeCell ref="A147:B147"/>
    <mergeCell ref="A150:B150"/>
    <mergeCell ref="A152:B152"/>
    <mergeCell ref="A154:B154"/>
    <mergeCell ref="A161:B161"/>
    <mergeCell ref="A163:B163"/>
    <mergeCell ref="A130:B130"/>
    <mergeCell ref="A133:B133"/>
    <mergeCell ref="A136:B136"/>
    <mergeCell ref="A140:B140"/>
    <mergeCell ref="A143:B143"/>
    <mergeCell ref="A145:B145"/>
    <mergeCell ref="A111:B111"/>
    <mergeCell ref="C111:E111"/>
    <mergeCell ref="A114:C114"/>
    <mergeCell ref="A117:C117"/>
    <mergeCell ref="B119:AH119"/>
    <mergeCell ref="A128:B128"/>
    <mergeCell ref="A101:C101"/>
    <mergeCell ref="A102:B102"/>
    <mergeCell ref="A105:B105"/>
    <mergeCell ref="A106:B106"/>
    <mergeCell ref="C106:E106"/>
    <mergeCell ref="A110:C110"/>
    <mergeCell ref="A89:B89"/>
    <mergeCell ref="C89:E89"/>
    <mergeCell ref="A91:B91"/>
    <mergeCell ref="A92:B92"/>
    <mergeCell ref="A95:B95"/>
    <mergeCell ref="A96:B96"/>
    <mergeCell ref="C96:E96"/>
    <mergeCell ref="A78:B78"/>
    <mergeCell ref="A81:B81"/>
    <mergeCell ref="A82:B82"/>
    <mergeCell ref="A85:C85"/>
    <mergeCell ref="A86:B86"/>
    <mergeCell ref="A88:B88"/>
    <mergeCell ref="A71:B71"/>
    <mergeCell ref="A72:B72"/>
    <mergeCell ref="C72:E72"/>
    <mergeCell ref="A75:B75"/>
    <mergeCell ref="A76:B76"/>
    <mergeCell ref="C76:E76"/>
    <mergeCell ref="A62:B62"/>
    <mergeCell ref="A63:B63"/>
    <mergeCell ref="C63:E63"/>
    <mergeCell ref="A66:B66"/>
    <mergeCell ref="A67:B67"/>
    <mergeCell ref="C67:E67"/>
    <mergeCell ref="A54:B54"/>
    <mergeCell ref="A55:B55"/>
    <mergeCell ref="C55:E55"/>
    <mergeCell ref="A58:C58"/>
    <mergeCell ref="A59:B59"/>
    <mergeCell ref="C59:E59"/>
    <mergeCell ref="A43:B43"/>
    <mergeCell ref="A44:B44"/>
    <mergeCell ref="C44:E44"/>
    <mergeCell ref="A46:B46"/>
    <mergeCell ref="A47:B47"/>
    <mergeCell ref="C47:E47"/>
    <mergeCell ref="A31:B31"/>
    <mergeCell ref="A32:B32"/>
    <mergeCell ref="C32:E32"/>
    <mergeCell ref="A37:B37"/>
    <mergeCell ref="A38:B38"/>
    <mergeCell ref="C38:E38"/>
    <mergeCell ref="B11:AH11"/>
    <mergeCell ref="A13:B13"/>
    <mergeCell ref="A15:C15"/>
    <mergeCell ref="A16:B16"/>
    <mergeCell ref="A18:B18"/>
    <mergeCell ref="A24:B24"/>
    <mergeCell ref="C24:E24"/>
    <mergeCell ref="AI7:AJ7"/>
    <mergeCell ref="A10:AH10"/>
    <mergeCell ref="Q7:Q8"/>
    <mergeCell ref="R7:S7"/>
    <mergeCell ref="T7:U7"/>
    <mergeCell ref="V7:V8"/>
    <mergeCell ref="W7:Y7"/>
    <mergeCell ref="Z7:AA7"/>
    <mergeCell ref="E7:F7"/>
    <mergeCell ref="G7:G8"/>
    <mergeCell ref="I7:I8"/>
    <mergeCell ref="J7:K7"/>
    <mergeCell ref="M7:M8"/>
    <mergeCell ref="N7:O7"/>
    <mergeCell ref="Z1:AH1"/>
    <mergeCell ref="A3:AH3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AB7:AB8"/>
    <mergeCell ref="AC7:AE7"/>
    <mergeCell ref="AF7:AG7"/>
    <mergeCell ref="AH7:AH8"/>
  </mergeCells>
  <pageMargins left="0.59055118110236227" right="0.59055118110236227" top="0.59055118110236227" bottom="0.59055118110236227" header="0.39370078740157483" footer="0.51181102362204722"/>
  <pageSetup paperSize="9" scale="34" firstPageNumber="62" fitToHeight="26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27.04.2024 уточчччч</vt:lpstr>
      <vt:lpstr>'27.04.2024 уточчччч'!Заголовки_для_печати</vt:lpstr>
      <vt:lpstr>'27.04.2024 уточчччч'!Область_печати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2024-05-03T09:08:31Z</cp:lastPrinted>
  <dcterms:created xsi:type="dcterms:W3CDTF">2023-06-29T08:05:20Z</dcterms:created>
  <dcterms:modified xsi:type="dcterms:W3CDTF">2024-05-03T09:08:41Z</dcterms:modified>
</cp:coreProperties>
</file>