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25.02.25 поправки февраль" sheetId="2" r:id="rId1"/>
  </sheets>
  <definedNames>
    <definedName name="_xlnm.Print_Titles" localSheetId="0">'25.02.25 поправки февраль'!$5:$8</definedName>
    <definedName name="_xlnm.Print_Area" localSheetId="0">'25.02.25 поправки февраль'!$A$1:$V$231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3" i="2"/>
  <c r="J61"/>
  <c r="N209"/>
  <c r="K36"/>
  <c r="L36" s="1"/>
  <c r="K38"/>
  <c r="Q209"/>
  <c r="P209"/>
  <c r="O209"/>
  <c r="Q227"/>
  <c r="L209"/>
  <c r="K209"/>
  <c r="J209"/>
  <c r="I209"/>
  <c r="H209"/>
  <c r="L226"/>
  <c r="L225"/>
  <c r="K188"/>
  <c r="K181" s="1"/>
  <c r="J188"/>
  <c r="J181" s="1"/>
  <c r="L155"/>
  <c r="K155"/>
  <c r="J155"/>
  <c r="H155"/>
  <c r="L167"/>
  <c r="L135"/>
  <c r="L134"/>
  <c r="L133"/>
  <c r="L140"/>
  <c r="L139"/>
  <c r="L138"/>
  <c r="L137"/>
  <c r="W83"/>
  <c r="P82"/>
  <c r="O82"/>
  <c r="M82"/>
  <c r="Q83"/>
  <c r="Q82" s="1"/>
  <c r="X227"/>
  <c r="F224"/>
  <c r="G224" s="1"/>
  <c r="F223"/>
  <c r="G223" s="1"/>
  <c r="F222"/>
  <c r="G222" s="1"/>
  <c r="F221"/>
  <c r="G221" s="1"/>
  <c r="F220"/>
  <c r="G220" s="1"/>
  <c r="F219"/>
  <c r="G219" s="1"/>
  <c r="F218"/>
  <c r="G218" s="1"/>
  <c r="F217"/>
  <c r="G217" s="1"/>
  <c r="F216"/>
  <c r="G216" s="1"/>
  <c r="F215"/>
  <c r="G215" s="1"/>
  <c r="F214"/>
  <c r="G214" s="1"/>
  <c r="G213"/>
  <c r="W212"/>
  <c r="F212"/>
  <c r="E212"/>
  <c r="C212"/>
  <c r="G211"/>
  <c r="G210" s="1"/>
  <c r="F210"/>
  <c r="E210"/>
  <c r="E209" s="1"/>
  <c r="C210"/>
  <c r="C209" s="1"/>
  <c r="V209"/>
  <c r="U209"/>
  <c r="T209"/>
  <c r="R209"/>
  <c r="G208"/>
  <c r="F207"/>
  <c r="G207" s="1"/>
  <c r="E207"/>
  <c r="G206"/>
  <c r="G205"/>
  <c r="G204"/>
  <c r="G203"/>
  <c r="G202"/>
  <c r="C202"/>
  <c r="C199" s="1"/>
  <c r="U201"/>
  <c r="U199" s="1"/>
  <c r="G201"/>
  <c r="G200"/>
  <c r="V199"/>
  <c r="T199"/>
  <c r="R199"/>
  <c r="E199"/>
  <c r="F198"/>
  <c r="G198" s="1"/>
  <c r="F197"/>
  <c r="G197" s="1"/>
  <c r="F196"/>
  <c r="G196" s="1"/>
  <c r="F195"/>
  <c r="G195" s="1"/>
  <c r="F194"/>
  <c r="G194" s="1"/>
  <c r="F193"/>
  <c r="G193" s="1"/>
  <c r="F192"/>
  <c r="G192" s="1"/>
  <c r="F191"/>
  <c r="G191" s="1"/>
  <c r="F190"/>
  <c r="G190" s="1"/>
  <c r="E189"/>
  <c r="C189"/>
  <c r="L186"/>
  <c r="H186"/>
  <c r="H181" s="1"/>
  <c r="F184"/>
  <c r="G183"/>
  <c r="G182"/>
  <c r="V181"/>
  <c r="U181"/>
  <c r="T181"/>
  <c r="R181"/>
  <c r="E181"/>
  <c r="C181"/>
  <c r="P177"/>
  <c r="Q177" s="1"/>
  <c r="P176"/>
  <c r="Q176" s="1"/>
  <c r="P175"/>
  <c r="Q175" s="1"/>
  <c r="P174"/>
  <c r="Q174" s="1"/>
  <c r="O173"/>
  <c r="O168" s="1"/>
  <c r="P172"/>
  <c r="Q172" s="1"/>
  <c r="P171"/>
  <c r="Q171" s="1"/>
  <c r="P170"/>
  <c r="Q170" s="1"/>
  <c r="U169"/>
  <c r="U168" s="1"/>
  <c r="T168"/>
  <c r="R168"/>
  <c r="M168"/>
  <c r="G168"/>
  <c r="F168"/>
  <c r="E168"/>
  <c r="C168"/>
  <c r="G166"/>
  <c r="F165"/>
  <c r="G165" s="1"/>
  <c r="F164"/>
  <c r="G164" s="1"/>
  <c r="F163"/>
  <c r="G163" s="1"/>
  <c r="F162"/>
  <c r="G162" s="1"/>
  <c r="F161"/>
  <c r="G161" s="1"/>
  <c r="F160"/>
  <c r="G160" s="1"/>
  <c r="F159"/>
  <c r="G159" s="1"/>
  <c r="F158"/>
  <c r="G158" s="1"/>
  <c r="F157"/>
  <c r="G157" s="1"/>
  <c r="W156"/>
  <c r="U156"/>
  <c r="V156" s="1"/>
  <c r="V155" s="1"/>
  <c r="R156"/>
  <c r="R155" s="1"/>
  <c r="F156"/>
  <c r="G156" s="1"/>
  <c r="W155"/>
  <c r="T155"/>
  <c r="E155"/>
  <c r="C155"/>
  <c r="U153"/>
  <c r="U152" s="1"/>
  <c r="T152"/>
  <c r="S152"/>
  <c r="S11" s="1"/>
  <c r="R152"/>
  <c r="G152"/>
  <c r="F152"/>
  <c r="E152"/>
  <c r="D152"/>
  <c r="C152"/>
  <c r="Q151"/>
  <c r="Q149"/>
  <c r="Q148"/>
  <c r="Q147"/>
  <c r="Q146"/>
  <c r="G145"/>
  <c r="E145" s="1"/>
  <c r="E144"/>
  <c r="G143"/>
  <c r="F143"/>
  <c r="V142"/>
  <c r="V141" s="1"/>
  <c r="U142"/>
  <c r="U141" s="1"/>
  <c r="C142"/>
  <c r="C141" s="1"/>
  <c r="T141"/>
  <c r="R141"/>
  <c r="P141"/>
  <c r="O141"/>
  <c r="M141"/>
  <c r="L132"/>
  <c r="L131"/>
  <c r="L130"/>
  <c r="L129"/>
  <c r="L128"/>
  <c r="L127"/>
  <c r="L126"/>
  <c r="L125"/>
  <c r="L124"/>
  <c r="L123"/>
  <c r="G123"/>
  <c r="L122"/>
  <c r="L121"/>
  <c r="L120"/>
  <c r="L119"/>
  <c r="L118"/>
  <c r="G117"/>
  <c r="V115"/>
  <c r="U115"/>
  <c r="T115"/>
  <c r="R115"/>
  <c r="J115"/>
  <c r="J116" s="1"/>
  <c r="H115"/>
  <c r="H116" s="1"/>
  <c r="F115"/>
  <c r="F116" s="1"/>
  <c r="E115"/>
  <c r="E116" s="1"/>
  <c r="C115"/>
  <c r="C116" s="1"/>
  <c r="P114"/>
  <c r="Q114" s="1"/>
  <c r="P113"/>
  <c r="Q113" s="1"/>
  <c r="P112"/>
  <c r="Q112" s="1"/>
  <c r="P111"/>
  <c r="Q111" s="1"/>
  <c r="F110"/>
  <c r="G110" s="1"/>
  <c r="F109"/>
  <c r="G109" s="1"/>
  <c r="F108"/>
  <c r="G108" s="1"/>
  <c r="F107"/>
  <c r="G107" s="1"/>
  <c r="C106"/>
  <c r="C105" s="1"/>
  <c r="V105"/>
  <c r="U105"/>
  <c r="T105"/>
  <c r="R105"/>
  <c r="O105"/>
  <c r="M105"/>
  <c r="G105"/>
  <c r="F105"/>
  <c r="E105"/>
  <c r="L104"/>
  <c r="L97" s="1"/>
  <c r="P102"/>
  <c r="Q102" s="1"/>
  <c r="Q97" s="1"/>
  <c r="G101"/>
  <c r="F100"/>
  <c r="G100" s="1"/>
  <c r="F99"/>
  <c r="G99" s="1"/>
  <c r="V97"/>
  <c r="U97"/>
  <c r="T97"/>
  <c r="R97"/>
  <c r="O97"/>
  <c r="M97"/>
  <c r="K97"/>
  <c r="J97"/>
  <c r="H97"/>
  <c r="E97"/>
  <c r="C97"/>
  <c r="F96"/>
  <c r="G96" s="1"/>
  <c r="F95"/>
  <c r="G95" s="1"/>
  <c r="C94"/>
  <c r="C93" s="1"/>
  <c r="V93"/>
  <c r="U93"/>
  <c r="T93"/>
  <c r="R93"/>
  <c r="G93"/>
  <c r="F93"/>
  <c r="E93"/>
  <c r="F92"/>
  <c r="G92" s="1"/>
  <c r="F91"/>
  <c r="G91" s="1"/>
  <c r="F90"/>
  <c r="G90" s="1"/>
  <c r="F89"/>
  <c r="G89" s="1"/>
  <c r="F88"/>
  <c r="G88" s="1"/>
  <c r="U85"/>
  <c r="U84" s="1"/>
  <c r="T84"/>
  <c r="R84"/>
  <c r="U83"/>
  <c r="U82" s="1"/>
  <c r="E83"/>
  <c r="E82" s="1"/>
  <c r="C83"/>
  <c r="C82" s="1"/>
  <c r="T82"/>
  <c r="R82"/>
  <c r="P81"/>
  <c r="P68" s="1"/>
  <c r="M81"/>
  <c r="M68" s="1"/>
  <c r="K81"/>
  <c r="K68" s="1"/>
  <c r="J81"/>
  <c r="E79"/>
  <c r="F79" s="1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V70"/>
  <c r="V68" s="1"/>
  <c r="G70"/>
  <c r="F70"/>
  <c r="U68"/>
  <c r="T68"/>
  <c r="R68"/>
  <c r="O68"/>
  <c r="H68"/>
  <c r="C68"/>
  <c r="H61"/>
  <c r="H56" s="1"/>
  <c r="G60"/>
  <c r="G59"/>
  <c r="C59"/>
  <c r="C56" s="1"/>
  <c r="G58"/>
  <c r="V56"/>
  <c r="U56"/>
  <c r="T56"/>
  <c r="R56"/>
  <c r="F56"/>
  <c r="E56"/>
  <c r="P55"/>
  <c r="Q55" s="1"/>
  <c r="Q50" s="1"/>
  <c r="L54"/>
  <c r="L50" s="1"/>
  <c r="I54"/>
  <c r="I50" s="1"/>
  <c r="V50"/>
  <c r="U50"/>
  <c r="T50"/>
  <c r="R50"/>
  <c r="O50"/>
  <c r="M50"/>
  <c r="K50"/>
  <c r="J50"/>
  <c r="H50"/>
  <c r="G50"/>
  <c r="F50"/>
  <c r="E50"/>
  <c r="C50"/>
  <c r="K49"/>
  <c r="L49" s="1"/>
  <c r="K48"/>
  <c r="L48" s="1"/>
  <c r="K47"/>
  <c r="L47" s="1"/>
  <c r="K46"/>
  <c r="L46" s="1"/>
  <c r="G46"/>
  <c r="F45"/>
  <c r="G45" s="1"/>
  <c r="F44"/>
  <c r="G44" s="1"/>
  <c r="F43"/>
  <c r="G43" s="1"/>
  <c r="F42"/>
  <c r="G42" s="1"/>
  <c r="F41"/>
  <c r="G41" s="1"/>
  <c r="G40"/>
  <c r="F40"/>
  <c r="J39"/>
  <c r="H39"/>
  <c r="E39"/>
  <c r="C39"/>
  <c r="L38"/>
  <c r="K37"/>
  <c r="L37" s="1"/>
  <c r="K35"/>
  <c r="L35" s="1"/>
  <c r="K34"/>
  <c r="L34" s="1"/>
  <c r="K33"/>
  <c r="L33" s="1"/>
  <c r="K32"/>
  <c r="F32"/>
  <c r="G32" s="1"/>
  <c r="F31"/>
  <c r="G31" s="1"/>
  <c r="F30"/>
  <c r="G30" s="1"/>
  <c r="J29"/>
  <c r="J28" s="1"/>
  <c r="H29"/>
  <c r="E29"/>
  <c r="C29"/>
  <c r="V28"/>
  <c r="U28"/>
  <c r="T28"/>
  <c r="R28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V16"/>
  <c r="P16"/>
  <c r="Q16" s="1"/>
  <c r="Q15" s="1"/>
  <c r="E16"/>
  <c r="E15" s="1"/>
  <c r="C16"/>
  <c r="C15" s="1"/>
  <c r="V15"/>
  <c r="O15"/>
  <c r="M15"/>
  <c r="N11"/>
  <c r="D11"/>
  <c r="W188" l="1"/>
  <c r="L188"/>
  <c r="F209"/>
  <c r="E68"/>
  <c r="H28"/>
  <c r="H11" s="1"/>
  <c r="P50"/>
  <c r="F97"/>
  <c r="K29"/>
  <c r="M11"/>
  <c r="L32"/>
  <c r="L29" s="1"/>
  <c r="V153"/>
  <c r="V152" s="1"/>
  <c r="P173"/>
  <c r="Q173" s="1"/>
  <c r="Q168" s="1"/>
  <c r="G199"/>
  <c r="L81"/>
  <c r="L68" s="1"/>
  <c r="P15"/>
  <c r="F155"/>
  <c r="L181"/>
  <c r="G212"/>
  <c r="G209" s="1"/>
  <c r="E143"/>
  <c r="E142" s="1"/>
  <c r="E141" s="1"/>
  <c r="F185"/>
  <c r="G185" s="1"/>
  <c r="F39"/>
  <c r="Q141"/>
  <c r="V169"/>
  <c r="V168" s="1"/>
  <c r="W184"/>
  <c r="R11"/>
  <c r="G189"/>
  <c r="G155"/>
  <c r="L115"/>
  <c r="L116" s="1"/>
  <c r="Q81"/>
  <c r="Q68" s="1"/>
  <c r="V83"/>
  <c r="V82" s="1"/>
  <c r="G83"/>
  <c r="G82" s="1"/>
  <c r="O11"/>
  <c r="G115"/>
  <c r="G116" s="1"/>
  <c r="F199"/>
  <c r="I11"/>
  <c r="F16"/>
  <c r="F15" s="1"/>
  <c r="G56"/>
  <c r="F68"/>
  <c r="F189"/>
  <c r="E28"/>
  <c r="L39"/>
  <c r="Q105"/>
  <c r="G184"/>
  <c r="G181" s="1"/>
  <c r="P168"/>
  <c r="P97"/>
  <c r="C28"/>
  <c r="C11" s="1"/>
  <c r="T11"/>
  <c r="F29"/>
  <c r="F83"/>
  <c r="F82" s="1"/>
  <c r="G142"/>
  <c r="G141" s="1"/>
  <c r="G29"/>
  <c r="G39"/>
  <c r="G68"/>
  <c r="G97"/>
  <c r="G16"/>
  <c r="G15" s="1"/>
  <c r="P105"/>
  <c r="U155"/>
  <c r="U11" s="1"/>
  <c r="K39"/>
  <c r="F142"/>
  <c r="F141" s="1"/>
  <c r="J68"/>
  <c r="K115"/>
  <c r="K116" s="1"/>
  <c r="K28" l="1"/>
  <c r="G28"/>
  <c r="G11" s="1"/>
  <c r="Z11" s="1"/>
  <c r="F28"/>
  <c r="F13" s="1"/>
  <c r="F181"/>
  <c r="V11"/>
  <c r="P13"/>
  <c r="E11"/>
  <c r="W11" s="1"/>
  <c r="W185"/>
  <c r="P11"/>
  <c r="L28"/>
  <c r="Q11"/>
  <c r="Q14"/>
  <c r="W28" l="1"/>
  <c r="G14"/>
  <c r="F11"/>
  <c r="X11" s="1"/>
  <c r="L14"/>
  <c r="L56"/>
  <c r="L11" s="1"/>
  <c r="K56"/>
  <c r="K11" s="1"/>
  <c r="J64"/>
  <c r="J56" s="1"/>
  <c r="J11" s="1"/>
  <c r="J65"/>
  <c r="K13" l="1"/>
</calcChain>
</file>

<file path=xl/sharedStrings.xml><?xml version="1.0" encoding="utf-8"?>
<sst xmlns="http://schemas.openxmlformats.org/spreadsheetml/2006/main" count="280" uniqueCount="233">
  <si>
    <t xml:space="preserve"> Перечень объектов капитального ремонта и ремонта автодорог местного значения и искусственных сооружений на них в Белгородской области на 2024 - 2026 годы    </t>
  </si>
  <si>
    <t xml:space="preserve">    №    п/п</t>
  </si>
  <si>
    <t xml:space="preserve">     Наименование муниципальных районов, городских       и муниципальных округов, поселений, населенных пунктов</t>
  </si>
  <si>
    <t>2024 год</t>
  </si>
  <si>
    <t>2025 год</t>
  </si>
  <si>
    <t>2026 год</t>
  </si>
  <si>
    <t>2027 год</t>
  </si>
  <si>
    <t xml:space="preserve">    </t>
  </si>
  <si>
    <t>Протяженность</t>
  </si>
  <si>
    <t>в том числе</t>
  </si>
  <si>
    <t>Стоимость ВСЕГО,                   тыс. рублей</t>
  </si>
  <si>
    <t xml:space="preserve">км </t>
  </si>
  <si>
    <t>п.м</t>
  </si>
  <si>
    <t>муници-пальный бюджет</t>
  </si>
  <si>
    <t>областной бюджет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</si>
  <si>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</si>
  <si>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 xml:space="preserve"> </t>
  </si>
  <si>
    <t>Отремонтировано автодорог и мостов местного значения</t>
  </si>
  <si>
    <t>ВСЕГО</t>
  </si>
  <si>
    <t>в том числе:</t>
  </si>
  <si>
    <t>субсидии из областного бюджета</t>
  </si>
  <si>
    <t>средства  бюджетов муниципальных образований</t>
  </si>
  <si>
    <t>Алексеевский муниципальный округ</t>
  </si>
  <si>
    <t xml:space="preserve"> г. Алексеевка, ул. Н. Рубана                </t>
  </si>
  <si>
    <t xml:space="preserve">г. Алексеевка, ул. Л. Толстого        </t>
  </si>
  <si>
    <t>г. Алексеевка, ул. Кривошеина</t>
  </si>
  <si>
    <t xml:space="preserve">г. Алексеевка, ул. Тихая Сосна </t>
  </si>
  <si>
    <t xml:space="preserve">г. Алексеевка, ул. Нижняя </t>
  </si>
  <si>
    <t xml:space="preserve">г. Алексеевка, ул. Песчаная </t>
  </si>
  <si>
    <t>г. Алексеевка, ул. Каштановая</t>
  </si>
  <si>
    <t>г. Алексеевка, ул. Маяковского</t>
  </si>
  <si>
    <t>г. Алексеевка, пер. Острогожский</t>
  </si>
  <si>
    <t xml:space="preserve">г. Алексеевка, ул. Мостовая </t>
  </si>
  <si>
    <t>г. Алексеевка, пер. Фрунзе</t>
  </si>
  <si>
    <t>Белгородский район</t>
  </si>
  <si>
    <t>с. Репное, МКР «Европа», ул. Парижская</t>
  </si>
  <si>
    <t xml:space="preserve">   </t>
  </si>
  <si>
    <t>МКР ИЖС «Майский - 8»</t>
  </si>
  <si>
    <t>МКР ИЖС «Княжеский»</t>
  </si>
  <si>
    <t>МКР ИЖС «Лесной»</t>
  </si>
  <si>
    <t>МКР ИЖС «Новосадовый - 41», проезды</t>
  </si>
  <si>
    <t>МКР ИЖС «Пушкарное - 78» (2-я очередь)</t>
  </si>
  <si>
    <t>МКР ИЖС «Стрелецкое - 73/1»</t>
  </si>
  <si>
    <t>МКР ИЖС «Стрелецкое - 73/2 (2-я очередь)»</t>
  </si>
  <si>
    <t>Ремонт автодорог в МКР ИЖС, в том числе</t>
  </si>
  <si>
    <t>МКР ИЖС «Шишино - 84»</t>
  </si>
  <si>
    <t>Ремонт автодороги к СНТ «Авиатор»</t>
  </si>
  <si>
    <t>МКР ИЖС «Майский - 80»</t>
  </si>
  <si>
    <t>МКР ИЖС «Разумное - 81»</t>
  </si>
  <si>
    <t>МКР ИЖС «Пушкарное - 78»</t>
  </si>
  <si>
    <t>МКР ИЖС «Тополек»</t>
  </si>
  <si>
    <t>МКР ИЖС «Новосадовый - 41», «Новые сады»</t>
  </si>
  <si>
    <t>МКР ИЖС «Стрелецкое - 83»</t>
  </si>
  <si>
    <t>п. Новосадовый, МКР ИЖС «Новосадовый - 26»,      ул. Тенистая</t>
  </si>
  <si>
    <t>Борисовский район</t>
  </si>
  <si>
    <t>Ремонт улично-дорожной сети района, в том числе</t>
  </si>
  <si>
    <t>п. Борисовка, ул. Терновая</t>
  </si>
  <si>
    <t>п. Борисовка, ул. Ленина</t>
  </si>
  <si>
    <t>Ремонт мостов через реку Локня в с.Красный Куток</t>
  </si>
  <si>
    <t>п. Борисовка, ул. Советская</t>
  </si>
  <si>
    <t>Валуйский муниципальный округ</t>
  </si>
  <si>
    <t>Ремонт улично-дорожной сети городского округа,        в том числе</t>
  </si>
  <si>
    <t>Ремонт автодороги по ул. 1 Мая в г. Валуйки</t>
  </si>
  <si>
    <t>п. Уразово</t>
  </si>
  <si>
    <t>Ремонт автодороги от подсобного хозяйства                  (с. Новая Симоновка) до Свято-Николаевского собора (МКР Раздолье)</t>
  </si>
  <si>
    <t xml:space="preserve">Ремонт автодороги от с.Поминово до с. Гладково </t>
  </si>
  <si>
    <t>Вейделевский район</t>
  </si>
  <si>
    <t>Волоконовский район</t>
  </si>
  <si>
    <t xml:space="preserve">п. Волоконовка, ул. Королева </t>
  </si>
  <si>
    <t xml:space="preserve">х. Волчий, ул. Калинина </t>
  </si>
  <si>
    <t>с. Фощеватово, ул. Лесная</t>
  </si>
  <si>
    <t>с. Фощеватово, ул. Петровская</t>
  </si>
  <si>
    <t>с. Фощеватово, ул. Горная</t>
  </si>
  <si>
    <t>с. Фощеватово, ул. Набережная</t>
  </si>
  <si>
    <t>с. Фощеватово, ул. Раздольная</t>
  </si>
  <si>
    <t>х. Волчий Первый, ул. Дачная</t>
  </si>
  <si>
    <t>п. Волоконовка, ул. Сибирский Проезд</t>
  </si>
  <si>
    <t>с. Шеншиновка, ул. Садовая</t>
  </si>
  <si>
    <t>Капитальный ремонт улично - дорожной сети района, в том числе</t>
  </si>
  <si>
    <t>Капитальный ремонт автодороги  ул. Ленина -              ул. Нестерова, п. Волоконовка</t>
  </si>
  <si>
    <t>Грайворонский муниципальный округ</t>
  </si>
  <si>
    <t>Губкинский городской округ</t>
  </si>
  <si>
    <t>г. Грайворон, ул. Пролетарская</t>
  </si>
  <si>
    <t xml:space="preserve">г. Грайворон, ул. Горького </t>
  </si>
  <si>
    <t xml:space="preserve">с. Головчино, ул. Карла Маркса </t>
  </si>
  <si>
    <t>с. Головчино, ул. 2-я Советская (I-я очередь)</t>
  </si>
  <si>
    <t>с. Головчино, ул. 2-я Советская (II-я очередь)</t>
  </si>
  <si>
    <t>х. Тополи - с. Антоновка</t>
  </si>
  <si>
    <t>с. Ивановская Лисица, ул. Ленина</t>
  </si>
  <si>
    <t>Ивнянский район</t>
  </si>
  <si>
    <t xml:space="preserve">      </t>
  </si>
  <si>
    <t>п. Ивня, ул. Транспортная</t>
  </si>
  <si>
    <t>Корочанский район</t>
  </si>
  <si>
    <t xml:space="preserve">  </t>
  </si>
  <si>
    <t>х. Постников (в щебне)</t>
  </si>
  <si>
    <t>с. Анновка, ул. Центральная</t>
  </si>
  <si>
    <t>г. Короча, пер. Карла Либкнехта</t>
  </si>
  <si>
    <t xml:space="preserve">с. Дальняя Игуменка, МКР ИЖС «Игуменка 79» </t>
  </si>
  <si>
    <t xml:space="preserve">Капитальный ремонт подъездной дороги                      к кладбищу в х. Миндоловка </t>
  </si>
  <si>
    <t>Красненский район</t>
  </si>
  <si>
    <t>с. Готовье, ул. Молодежная</t>
  </si>
  <si>
    <t>с. Ураково, ул. Пролетарская</t>
  </si>
  <si>
    <t>с. Красное, пер. Подгорный, пер. Восточный</t>
  </si>
  <si>
    <t>с. Сетище, ул. Прудовая, ул. Лесная</t>
  </si>
  <si>
    <t>Ремонт автодороги от ул. Новая с. Большое                  до ул. Кривой рог с. Старый Редкодуб</t>
  </si>
  <si>
    <t>с. Лесное Уколово, I очередь</t>
  </si>
  <si>
    <t>Красногвардейский район</t>
  </si>
  <si>
    <t>с. Ливенка, ул. Набережная</t>
  </si>
  <si>
    <t>с. Арнаутово, ул. Победы</t>
  </si>
  <si>
    <t>с. Казацкое, ул. Заречная</t>
  </si>
  <si>
    <t>г. Бирюч, ул. Советская</t>
  </si>
  <si>
    <t>г. Бирюч, ул. Ямская</t>
  </si>
  <si>
    <t>г. Бирюч, ул. Чайковского</t>
  </si>
  <si>
    <t>г. Бирюч, ул. Заводская</t>
  </si>
  <si>
    <t>г. Бирюч, ул. Большевистская</t>
  </si>
  <si>
    <t>с. Раздорное, ул. Раздорная</t>
  </si>
  <si>
    <t>с. Горовое, ул. Мира</t>
  </si>
  <si>
    <t>х. Котляров, ул. Центральная</t>
  </si>
  <si>
    <t>с. Ливенка, ул. Подлес</t>
  </si>
  <si>
    <t>с. Ливенка, ул. Советская</t>
  </si>
  <si>
    <t>с. Ливенка, ул. Заводская</t>
  </si>
  <si>
    <t>Краснояружский  район</t>
  </si>
  <si>
    <t xml:space="preserve">п. Красная Яруга, ул. Почтовая </t>
  </si>
  <si>
    <t xml:space="preserve">п. Красная Яруга, ул. Народная - ул. Набережная </t>
  </si>
  <si>
    <t>с. Отрадовка, ул. Центральная - ул. Озерная</t>
  </si>
  <si>
    <t>п. Красная Яруга, ул. Набережная - Дальневосточная</t>
  </si>
  <si>
    <t>с. Илек-Пеньковка, ул. Молодежная</t>
  </si>
  <si>
    <t>с. Илек-Пеньковка, ул. Школьная</t>
  </si>
  <si>
    <t>х. Вязовской, ул. Трудовая</t>
  </si>
  <si>
    <t xml:space="preserve">Капитальный ремонт автодороги по ул. Парковая         в п. Красная Яруга </t>
  </si>
  <si>
    <t>Новооскольский городской округ</t>
  </si>
  <si>
    <t>г. Новый Оскол, ул. Успенская - ул. Кирова</t>
  </si>
  <si>
    <t xml:space="preserve">Капитальный ремонт моста в г. Новый Оскол,                   ул. 1 Мая </t>
  </si>
  <si>
    <t>Прохоровский район</t>
  </si>
  <si>
    <t>п. Прохоровка, ул. Советская</t>
  </si>
  <si>
    <r>
      <rPr>
        <sz val="14"/>
        <rFont val="Times New Roman"/>
        <family val="1"/>
        <charset val="204"/>
      </rPr>
      <t>п</t>
    </r>
    <r>
      <rPr>
        <sz val="14"/>
        <color rgb="FF8B08BC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Прохоровка, 1-й Советский переулок </t>
    </r>
  </si>
  <si>
    <t>п. Прохоровка, ул. Ивана Гнездилова</t>
  </si>
  <si>
    <t>с. Камышевка, ул. Волошенко</t>
  </si>
  <si>
    <t xml:space="preserve">с. Новоселовка, ул. Речная </t>
  </si>
  <si>
    <t>с. Подольхи, ул. Колхозная</t>
  </si>
  <si>
    <t>с. Казачье, ул. Солнечная</t>
  </si>
  <si>
    <t>с. Казачье, ул. Тихая</t>
  </si>
  <si>
    <t>с. Казачье, ул. Береговая</t>
  </si>
  <si>
    <t>п. Прохоровка, ул. Лермонтова</t>
  </si>
  <si>
    <t>с. Вязовое, ул. Народная</t>
  </si>
  <si>
    <t>Ракитянский район</t>
  </si>
  <si>
    <t>п. Ракитное, ул. Призаводская, ул. Заводская</t>
  </si>
  <si>
    <t>с. Русская Березовка</t>
  </si>
  <si>
    <t>п. Ракитное, ул. Первомайская</t>
  </si>
  <si>
    <t>п. Ракитное, ул. Московская</t>
  </si>
  <si>
    <t>п. Пролетарский, ул. Октябрьская, ул. Лесная,               пер. 8 Проезд, пер. 9 Проезд, пер. Советский</t>
  </si>
  <si>
    <t>п. Пролетарский, пер. Садовый - ул. 8 Марта,                ул. Народная</t>
  </si>
  <si>
    <t>с. Ворсклица</t>
  </si>
  <si>
    <t>с. Солдатское, ул. Садовая, ул. Молочная</t>
  </si>
  <si>
    <t>с. Новоленинское</t>
  </si>
  <si>
    <t>Ровеньский район</t>
  </si>
  <si>
    <t>Старооскольский городской округ</t>
  </si>
  <si>
    <t xml:space="preserve">           </t>
  </si>
  <si>
    <t>Ремонт автодорог в МКР ИЖС «Пролески»</t>
  </si>
  <si>
    <t>с. Городище</t>
  </si>
  <si>
    <t>г. Старый Оскол, ул. Треугольник</t>
  </si>
  <si>
    <t>г. Старый Оскол, ул. Комсомольская                               (от пр. Комсомольского до ул. Ленина)</t>
  </si>
  <si>
    <t>Капитальный ремонт улично - дорожной сети городского округа, в том числе</t>
  </si>
  <si>
    <t>Чернянский район</t>
  </si>
  <si>
    <t>с. Новоречье, ул. Молодежная</t>
  </si>
  <si>
    <t>с. Новоречье, ул. Центральная</t>
  </si>
  <si>
    <t>п. Чернянка, ул. Есенина</t>
  </si>
  <si>
    <t>п. Чернянка, ул. Гоголя</t>
  </si>
  <si>
    <t>п. Чернянка, ул. Комарова</t>
  </si>
  <si>
    <t>п. Чернянка ул. Крупской</t>
  </si>
  <si>
    <t>п. Чернянка ул. Садовая</t>
  </si>
  <si>
    <t>п. Чернянка ул. Ломоносова</t>
  </si>
  <si>
    <t>п. Чернянка, ул. Кольцова - ул. Урицкого</t>
  </si>
  <si>
    <t>Яковлевский муниципальный округ</t>
  </si>
  <si>
    <t>с. Кривцово, ул. Привольная</t>
  </si>
  <si>
    <t>г. Строитель, ул. Конева</t>
  </si>
  <si>
    <t>г. Строитель, ул. Жукова</t>
  </si>
  <si>
    <t>х. Новочеркасский, подъезд к кладбищу</t>
  </si>
  <si>
    <t>с. Верхний Ольшанец, ул. Садовая</t>
  </si>
  <si>
    <t>п. Яковлево, ул. Южная</t>
  </si>
  <si>
    <t>с. Гостищево, подъезд к кладбищу</t>
  </si>
  <si>
    <t>г. Строитель, ул. Жукова                                             (ремонт внутридомовых проездов)</t>
  </si>
  <si>
    <t>с. Гостищево, ул. Комсомольская</t>
  </si>
  <si>
    <t>г. Белгород</t>
  </si>
  <si>
    <t>Капитальный ремонт улично - дорожной сети города, в том числе</t>
  </si>
  <si>
    <t>Капитальный ремонт пр. Ватутина от ул. 5 Августа      до ул. Князя Трубецкого в г. Белгороде (1 этап)</t>
  </si>
  <si>
    <t>Ремонт автодорог к парку аттракционов                        в городе Белгороде</t>
  </si>
  <si>
    <t>Ремонт автомобильных дорог  в урочище Пески (ул. Дальняя Тихая и ул. Ольховая) в граниах городского округа "Город Белгород"</t>
  </si>
  <si>
    <t>Ремонт улично-дорожной сети в г.Белгороде                                     (ул. Белгородской Сирени)</t>
  </si>
  <si>
    <t>Ремонт ул. Белгородского Полка                                                    от пр. Белгородский до ул. Октябрьская</t>
  </si>
  <si>
    <t>Ремонт ул.Волчанская от ул. Михайловское шоссе до д. 139</t>
  </si>
  <si>
    <t>Ремонт ул. Академическая от ул. Костюкова                                                         до д. 1а</t>
  </si>
  <si>
    <t>Ремонт ул. Беловская</t>
  </si>
  <si>
    <t>Ремонт ул. Пятницкая от ул. Макаренко                                                      до ул. С.Косенкова</t>
  </si>
  <si>
    <t>Ремонт ул.С.Чайкина от ул. Пятницкая                                                          до ул. Беловская</t>
  </si>
  <si>
    <t>Ремонт ул. С.Косенкова</t>
  </si>
  <si>
    <t>Ремонт автодороги по пер. 5 Ясный</t>
  </si>
  <si>
    <t>Ремонт автодороги по пер.2 Декабристов                                                                  от пер. 1-й Слобожанский до д.15</t>
  </si>
  <si>
    <t>Стоимость              ВСЕГО,        тыс. рублей</t>
  </si>
  <si>
    <t>субсидии           из областного бюджета</t>
  </si>
  <si>
    <t>Стоимость               ВСЕГО,        тыс. рублей</t>
  </si>
  <si>
    <t>субсидии      из областного бюджета</t>
  </si>
  <si>
    <t>Стоимость             ВСЕГО,         тыс. рублей</t>
  </si>
  <si>
    <t>субсидии            из областного бюджета</t>
  </si>
  <si>
    <t>Капитальный ремонт улично - дорожной сети округа, в том числе</t>
  </si>
  <si>
    <t>Капитальный ремонт улично - дорожной сети                       с. Остроухово</t>
  </si>
  <si>
    <t xml:space="preserve">Капитальный ремонт автодороги  по ул. Полевая             в с. Веселое </t>
  </si>
  <si>
    <t>Капитальный ремонт подъезда к детскому саду «Теремок», с. Веселое</t>
  </si>
  <si>
    <t>с. Холодное, ул. Родниковая</t>
  </si>
  <si>
    <t xml:space="preserve">Капитальный ремонт мостовых сооружений                             и путепроводов в г. Белгороде. Город Белгород, мост через р. Везелка по ул. Н. Чумичова </t>
  </si>
  <si>
    <t>Капитальный ремонт пр. Ватутина от ул. 5 Августа      до ул. Князя Трубецкого в г. Белгороде (2 этап)</t>
  </si>
  <si>
    <t>Капитальный ремонт путепровода через ж/д пути по ул. Михайловское шоссе в г. Белгороде</t>
  </si>
  <si>
    <t>Ремонт улично-дорожной сети городского округа,          в том числе</t>
  </si>
  <si>
    <t>Капитальный ремонт автодорог в МКР ИЖС,                    в том числе</t>
  </si>
  <si>
    <t>МКР ИЖС Пушкарное, проезд между ул. Ратная               и ул. Дозорная</t>
  </si>
  <si>
    <t>Капитальный ремонт автодороги по ул. Щорса                  в г. Валуйки</t>
  </si>
  <si>
    <t>Капитальный ремонт автодороги по ул. Никольская                             в г. Валуйки</t>
  </si>
  <si>
    <t xml:space="preserve">Капитальный ремонт автодороги по ул. Кольцевая                                       в с. Принцевка </t>
  </si>
  <si>
    <t>ремонт автодороги с. Покровка - х. Красная Поляна -                                  х. Береговой</t>
  </si>
  <si>
    <t>Капитальный ремонт автодороги  по ул. Подгорная                      в с. Черменевка</t>
  </si>
  <si>
    <t>с. Сорокино, ул. Тракторная, ул. Дачная,                                                  п. Аксеновка, ул. Песочная</t>
  </si>
  <si>
    <t>Капитальный ремонт автомобильных дорог                   в микрорайоне ИЖС  «Строитель» с. Незнамово                                            (с устройством наружного освещения)</t>
  </si>
  <si>
    <t>Ремонт улично - дорожной сети города,                                               в том числе</t>
  </si>
  <si>
    <t>с. Круглое, ул. Красный Боец</t>
  </si>
  <si>
    <t>с. Камызино, ул. Пролетарская, ул. Горького</t>
  </si>
  <si>
    <t>с. Стрелецкое</t>
  </si>
  <si>
    <t>с. Верхососна</t>
  </si>
  <si>
    <t>с. Засосна</t>
  </si>
  <si>
    <t xml:space="preserve">г. Бирюч, ул. Красных Партизан </t>
  </si>
  <si>
    <t>с. Малиново, ул. Зеленая</t>
  </si>
  <si>
    <t>Министр автомобильных дорог и транспорта Белгородской области</t>
  </si>
  <si>
    <t>С.В. Евтушенко</t>
  </si>
  <si>
    <t xml:space="preserve">Приложение № 9                                                                                                                                                     к государственной программе Белгородской области                                          «Совершенствование и развитие транспортной системы                                                              и  дорожной сети  Белгородской области»  </t>
  </si>
</sst>
</file>

<file path=xl/styles.xml><?xml version="1.0" encoding="utf-8"?>
<styleSheet xmlns="http://schemas.openxmlformats.org/spreadsheetml/2006/main">
  <numFmts count="9">
    <numFmt numFmtId="164" formatCode="#,##0.0"/>
    <numFmt numFmtId="165" formatCode="0.0"/>
    <numFmt numFmtId="166" formatCode="#,##0.000"/>
    <numFmt numFmtId="167" formatCode="#,##0_р_."/>
    <numFmt numFmtId="168" formatCode="#,##0.0_р_."/>
    <numFmt numFmtId="169" formatCode="#,##0.00000"/>
    <numFmt numFmtId="170" formatCode="#,##0.000_р_."/>
    <numFmt numFmtId="171" formatCode="0.000"/>
    <numFmt numFmtId="172" formatCode="#,##0.000000"/>
  </numFmts>
  <fonts count="22">
    <font>
      <sz val="10"/>
      <name val="Arial"/>
      <charset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4"/>
      <color rgb="FF8B08BC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209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0" fillId="0" borderId="0" xfId="0" applyFont="1" applyAlignment="1" applyProtection="1"/>
    <xf numFmtId="0" fontId="4" fillId="0" borderId="0" xfId="5" applyFont="1" applyBorder="1" applyAlignment="1" applyProtection="1">
      <alignment horizontal="center" vertical="center" wrapText="1"/>
    </xf>
    <xf numFmtId="0" fontId="4" fillId="0" borderId="0" xfId="5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0" fillId="0" borderId="0" xfId="5" applyFont="1" applyBorder="1" applyAlignment="1" applyProtection="1"/>
    <xf numFmtId="0" fontId="0" fillId="0" borderId="0" xfId="0" applyFont="1" applyBorder="1" applyAlignment="1" applyProtection="1"/>
    <xf numFmtId="0" fontId="0" fillId="0" borderId="1" xfId="0" applyFont="1" applyBorder="1" applyAlignment="1" applyProtection="1"/>
    <xf numFmtId="0" fontId="8" fillId="0" borderId="0" xfId="0" applyFont="1" applyAlignment="1" applyProtection="1"/>
    <xf numFmtId="0" fontId="7" fillId="0" borderId="7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7" fillId="0" borderId="11" xfId="5" applyFont="1" applyBorder="1" applyAlignment="1" applyProtection="1">
      <alignment horizontal="center" vertical="center" wrapText="1"/>
    </xf>
    <xf numFmtId="0" fontId="7" fillId="0" borderId="12" xfId="5" applyFont="1" applyBorder="1" applyAlignment="1" applyProtection="1">
      <alignment horizontal="center" vertical="center" wrapText="1"/>
    </xf>
    <xf numFmtId="0" fontId="7" fillId="0" borderId="13" xfId="5" applyFont="1" applyBorder="1" applyAlignment="1" applyProtection="1">
      <alignment horizontal="center" vertical="center" wrapText="1"/>
    </xf>
    <xf numFmtId="0" fontId="7" fillId="0" borderId="14" xfId="5" applyFont="1" applyBorder="1" applyAlignment="1" applyProtection="1">
      <alignment horizontal="center" vertical="center" wrapText="1"/>
    </xf>
    <xf numFmtId="0" fontId="10" fillId="0" borderId="15" xfId="5" applyFont="1" applyBorder="1" applyAlignment="1" applyProtection="1">
      <alignment horizontal="center" vertical="center" wrapText="1"/>
    </xf>
    <xf numFmtId="0" fontId="10" fillId="0" borderId="16" xfId="5" applyFont="1" applyBorder="1" applyAlignment="1" applyProtection="1">
      <alignment horizontal="center" vertical="center" wrapText="1"/>
    </xf>
    <xf numFmtId="0" fontId="10" fillId="0" borderId="17" xfId="5" applyFont="1" applyBorder="1" applyAlignment="1" applyProtection="1">
      <alignment horizontal="center" vertical="center" wrapText="1"/>
    </xf>
    <xf numFmtId="0" fontId="10" fillId="0" borderId="18" xfId="5" applyFont="1" applyBorder="1" applyAlignment="1" applyProtection="1">
      <alignment horizontal="center" vertical="center" wrapText="1"/>
    </xf>
    <xf numFmtId="0" fontId="4" fillId="0" borderId="19" xfId="5" applyFont="1" applyBorder="1" applyAlignment="1" applyProtection="1">
      <alignment horizontal="center" vertical="center" wrapText="1"/>
    </xf>
    <xf numFmtId="0" fontId="4" fillId="0" borderId="20" xfId="5" applyFont="1" applyBorder="1" applyAlignment="1" applyProtection="1">
      <alignment horizontal="center" vertical="center" wrapText="1"/>
    </xf>
    <xf numFmtId="0" fontId="4" fillId="0" borderId="21" xfId="5" applyFont="1" applyBorder="1" applyAlignment="1" applyProtection="1">
      <alignment horizontal="center" vertical="center" wrapText="1"/>
    </xf>
    <xf numFmtId="0" fontId="4" fillId="0" borderId="22" xfId="5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1" fontId="5" fillId="0" borderId="24" xfId="3" applyNumberFormat="1" applyFont="1" applyBorder="1" applyAlignment="1" applyProtection="1">
      <alignment horizontal="center" vertical="center" wrapText="1"/>
    </xf>
    <xf numFmtId="0" fontId="5" fillId="0" borderId="24" xfId="5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164" fontId="5" fillId="0" borderId="7" xfId="5" applyNumberFormat="1" applyFont="1" applyBorder="1" applyAlignment="1" applyProtection="1">
      <alignment horizontal="center" vertical="center" wrapText="1"/>
    </xf>
    <xf numFmtId="164" fontId="5" fillId="0" borderId="8" xfId="5" applyNumberFormat="1" applyFont="1" applyBorder="1" applyAlignment="1" applyProtection="1">
      <alignment horizontal="center" vertical="center" wrapText="1"/>
    </xf>
    <xf numFmtId="164" fontId="5" fillId="0" borderId="0" xfId="5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/>
    </xf>
    <xf numFmtId="0" fontId="4" fillId="0" borderId="25" xfId="5" applyFont="1" applyBorder="1" applyAlignment="1" applyProtection="1">
      <alignment horizontal="center" vertical="center" wrapText="1"/>
    </xf>
    <xf numFmtId="0" fontId="12" fillId="0" borderId="26" xfId="5" applyFont="1" applyBorder="1" applyAlignment="1" applyProtection="1">
      <alignment vertical="center" wrapText="1"/>
    </xf>
    <xf numFmtId="0" fontId="0" fillId="0" borderId="27" xfId="5" applyFont="1" applyBorder="1" applyAlignment="1" applyProtection="1"/>
    <xf numFmtId="0" fontId="0" fillId="0" borderId="27" xfId="0" applyFont="1" applyBorder="1" applyAlignment="1" applyProtection="1"/>
    <xf numFmtId="0" fontId="0" fillId="0" borderId="28" xfId="5" applyFont="1" applyBorder="1" applyAlignment="1" applyProtection="1"/>
    <xf numFmtId="0" fontId="0" fillId="0" borderId="29" xfId="0" applyFont="1" applyBorder="1" applyAlignment="1" applyProtection="1"/>
    <xf numFmtId="0" fontId="0" fillId="0" borderId="26" xfId="0" applyFont="1" applyBorder="1" applyAlignment="1" applyProtection="1"/>
    <xf numFmtId="0" fontId="0" fillId="0" borderId="28" xfId="0" applyFont="1" applyBorder="1" applyAlignment="1" applyProtection="1"/>
    <xf numFmtId="0" fontId="13" fillId="0" borderId="30" xfId="5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left" vertical="center" wrapText="1"/>
    </xf>
    <xf numFmtId="165" fontId="5" fillId="0" borderId="7" xfId="5" applyNumberFormat="1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/>
    <xf numFmtId="0" fontId="0" fillId="0" borderId="7" xfId="0" applyFont="1" applyBorder="1" applyAlignment="1" applyProtection="1"/>
    <xf numFmtId="0" fontId="0" fillId="0" borderId="11" xfId="0" applyFont="1" applyBorder="1" applyAlignment="1" applyProtection="1"/>
    <xf numFmtId="0" fontId="0" fillId="0" borderId="8" xfId="0" applyFont="1" applyBorder="1" applyAlignment="1" applyProtection="1"/>
    <xf numFmtId="3" fontId="5" fillId="0" borderId="7" xfId="5" applyNumberFormat="1" applyFont="1" applyBorder="1" applyAlignment="1" applyProtection="1">
      <alignment horizontal="center" vertical="center" wrapText="1"/>
    </xf>
    <xf numFmtId="166" fontId="14" fillId="0" borderId="7" xfId="0" applyNumberFormat="1" applyFont="1" applyBorder="1" applyAlignment="1" applyProtection="1"/>
    <xf numFmtId="3" fontId="10" fillId="0" borderId="9" xfId="5" applyNumberFormat="1" applyFont="1" applyBorder="1" applyAlignment="1" applyProtection="1">
      <alignment horizontal="center" vertical="center" wrapText="1"/>
    </xf>
    <xf numFmtId="3" fontId="10" fillId="0" borderId="7" xfId="5" applyNumberFormat="1" applyFont="1" applyBorder="1" applyAlignment="1" applyProtection="1">
      <alignment horizontal="center" vertical="center" wrapText="1"/>
    </xf>
    <xf numFmtId="3" fontId="10" fillId="0" borderId="11" xfId="5" applyNumberFormat="1" applyFont="1" applyBorder="1" applyAlignment="1" applyProtection="1">
      <alignment horizontal="center" vertical="center" wrapText="1"/>
    </xf>
    <xf numFmtId="0" fontId="5" fillId="0" borderId="11" xfId="4" applyFont="1" applyBorder="1" applyAlignment="1" applyProtection="1">
      <alignment horizontal="center" vertical="center" wrapText="1"/>
    </xf>
    <xf numFmtId="164" fontId="10" fillId="0" borderId="7" xfId="5" applyNumberFormat="1" applyFont="1" applyBorder="1" applyAlignment="1" applyProtection="1">
      <alignment horizontal="center" vertical="center" wrapText="1"/>
    </xf>
    <xf numFmtId="164" fontId="10" fillId="0" borderId="11" xfId="5" applyNumberFormat="1" applyFont="1" applyBorder="1" applyAlignment="1" applyProtection="1">
      <alignment horizontal="center" vertical="center" wrapText="1"/>
    </xf>
    <xf numFmtId="164" fontId="10" fillId="0" borderId="8" xfId="5" applyNumberFormat="1" applyFont="1" applyBorder="1" applyAlignment="1" applyProtection="1">
      <alignment horizontal="center" vertical="center" wrapText="1"/>
    </xf>
    <xf numFmtId="164" fontId="10" fillId="0" borderId="9" xfId="5" applyNumberFormat="1" applyFont="1" applyBorder="1" applyAlignment="1" applyProtection="1">
      <alignment horizontal="center" vertical="center" wrapText="1"/>
    </xf>
    <xf numFmtId="3" fontId="10" fillId="0" borderId="0" xfId="5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/>
    </xf>
    <xf numFmtId="0" fontId="4" fillId="0" borderId="30" xfId="5" applyFont="1" applyBorder="1" applyAlignment="1" applyProtection="1">
      <alignment horizontal="center" vertical="center" wrapText="1"/>
    </xf>
    <xf numFmtId="0" fontId="4" fillId="0" borderId="11" xfId="4" applyFont="1" applyBorder="1" applyAlignment="1" applyProtection="1">
      <alignment horizontal="left" vertical="center" wrapText="1"/>
    </xf>
    <xf numFmtId="166" fontId="4" fillId="0" borderId="7" xfId="5" applyNumberFormat="1" applyFont="1" applyBorder="1" applyAlignment="1" applyProtection="1">
      <alignment horizontal="center" vertical="center" wrapText="1"/>
    </xf>
    <xf numFmtId="3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 wrapText="1"/>
    </xf>
    <xf numFmtId="164" fontId="4" fillId="0" borderId="11" xfId="5" applyNumberFormat="1" applyFont="1" applyBorder="1" applyAlignment="1" applyProtection="1">
      <alignment horizontal="center" vertical="center" wrapText="1"/>
    </xf>
    <xf numFmtId="167" fontId="4" fillId="0" borderId="7" xfId="5" applyNumberFormat="1" applyFont="1" applyBorder="1" applyAlignment="1" applyProtection="1">
      <alignment horizontal="center" vertical="center"/>
    </xf>
    <xf numFmtId="168" fontId="4" fillId="0" borderId="7" xfId="5" applyNumberFormat="1" applyFont="1" applyBorder="1" applyAlignment="1" applyProtection="1">
      <alignment horizontal="center" vertical="center"/>
    </xf>
    <xf numFmtId="164" fontId="4" fillId="0" borderId="8" xfId="5" applyNumberFormat="1" applyFont="1" applyBorder="1" applyAlignment="1" applyProtection="1">
      <alignment horizontal="center" vertical="center" wrapText="1"/>
    </xf>
    <xf numFmtId="166" fontId="4" fillId="0" borderId="9" xfId="5" applyNumberFormat="1" applyFont="1" applyBorder="1" applyAlignment="1" applyProtection="1">
      <alignment horizontal="center" vertical="center" wrapText="1"/>
    </xf>
    <xf numFmtId="167" fontId="4" fillId="0" borderId="8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Border="1" applyAlignment="1" applyProtection="1">
      <alignment horizontal="center" vertical="center" wrapText="1"/>
    </xf>
    <xf numFmtId="166" fontId="10" fillId="0" borderId="0" xfId="5" applyNumberFormat="1" applyFont="1" applyBorder="1" applyAlignment="1" applyProtection="1">
      <alignment horizontal="center" vertical="center" wrapText="1"/>
    </xf>
    <xf numFmtId="166" fontId="0" fillId="0" borderId="9" xfId="0" applyNumberFormat="1" applyFont="1" applyBorder="1" applyAlignment="1" applyProtection="1"/>
    <xf numFmtId="0" fontId="4" fillId="0" borderId="26" xfId="4" applyFont="1" applyBorder="1" applyAlignment="1" applyProtection="1">
      <alignment horizontal="left" vertical="center" wrapText="1"/>
    </xf>
    <xf numFmtId="164" fontId="10" fillId="0" borderId="29" xfId="5" applyNumberFormat="1" applyFont="1" applyBorder="1" applyAlignment="1" applyProtection="1">
      <alignment horizontal="center" vertical="center" wrapText="1"/>
    </xf>
    <xf numFmtId="3" fontId="10" fillId="0" borderId="27" xfId="5" applyNumberFormat="1" applyFont="1" applyBorder="1" applyAlignment="1" applyProtection="1">
      <alignment horizontal="center" vertical="center" wrapText="1"/>
    </xf>
    <xf numFmtId="3" fontId="10" fillId="0" borderId="26" xfId="5" applyNumberFormat="1" applyFont="1" applyBorder="1" applyAlignment="1" applyProtection="1">
      <alignment horizontal="center" vertical="center" wrapText="1"/>
    </xf>
    <xf numFmtId="164" fontId="10" fillId="0" borderId="28" xfId="5" applyNumberFormat="1" applyFont="1" applyBorder="1" applyAlignment="1" applyProtection="1">
      <alignment horizontal="center" vertical="center" wrapText="1"/>
    </xf>
    <xf numFmtId="169" fontId="4" fillId="0" borderId="7" xfId="5" applyNumberFormat="1" applyFont="1" applyBorder="1" applyAlignment="1" applyProtection="1">
      <alignment horizontal="center" vertical="center" wrapText="1"/>
    </xf>
    <xf numFmtId="0" fontId="5" fillId="0" borderId="26" xfId="4" applyFont="1" applyBorder="1" applyAlignment="1" applyProtection="1">
      <alignment horizontal="center" vertical="center" wrapText="1"/>
    </xf>
    <xf numFmtId="167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 wrapText="1"/>
    </xf>
    <xf numFmtId="168" fontId="10" fillId="0" borderId="8" xfId="5" applyNumberFormat="1" applyFont="1" applyBorder="1" applyAlignment="1" applyProtection="1">
      <alignment horizontal="center" vertical="center" wrapText="1"/>
    </xf>
    <xf numFmtId="168" fontId="10" fillId="0" borderId="29" xfId="5" applyNumberFormat="1" applyFont="1" applyBorder="1" applyAlignment="1" applyProtection="1">
      <alignment horizontal="center" vertical="center"/>
    </xf>
    <xf numFmtId="168" fontId="10" fillId="0" borderId="27" xfId="5" applyNumberFormat="1" applyFont="1" applyBorder="1" applyAlignment="1" applyProtection="1">
      <alignment horizontal="center" vertical="center"/>
    </xf>
    <xf numFmtId="168" fontId="10" fillId="0" borderId="26" xfId="5" applyNumberFormat="1" applyFont="1" applyBorder="1" applyAlignment="1" applyProtection="1">
      <alignment horizontal="center" vertical="center"/>
    </xf>
    <xf numFmtId="168" fontId="10" fillId="0" borderId="28" xfId="5" applyNumberFormat="1" applyFont="1" applyBorder="1" applyAlignment="1" applyProtection="1">
      <alignment horizontal="center" vertical="center"/>
    </xf>
    <xf numFmtId="168" fontId="10" fillId="0" borderId="11" xfId="5" applyNumberFormat="1" applyFont="1" applyBorder="1" applyAlignment="1" applyProtection="1">
      <alignment horizontal="center" vertical="center"/>
    </xf>
    <xf numFmtId="0" fontId="0" fillId="0" borderId="7" xfId="5" applyFont="1" applyBorder="1" applyAlignment="1" applyProtection="1"/>
    <xf numFmtId="166" fontId="0" fillId="0" borderId="7" xfId="0" applyNumberFormat="1" applyFont="1" applyBorder="1" applyAlignment="1" applyProtection="1"/>
    <xf numFmtId="166" fontId="0" fillId="0" borderId="8" xfId="0" applyNumberFormat="1" applyFont="1" applyBorder="1" applyAlignment="1" applyProtection="1"/>
    <xf numFmtId="166" fontId="0" fillId="0" borderId="11" xfId="0" applyNumberFormat="1" applyFont="1" applyBorder="1" applyAlignment="1" applyProtection="1"/>
    <xf numFmtId="164" fontId="10" fillId="0" borderId="7" xfId="5" applyNumberFormat="1" applyFont="1" applyBorder="1" applyAlignment="1" applyProtection="1">
      <alignment horizontal="center" vertical="center"/>
    </xf>
    <xf numFmtId="164" fontId="10" fillId="0" borderId="8" xfId="5" applyNumberFormat="1" applyFont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/>
    <xf numFmtId="168" fontId="10" fillId="0" borderId="8" xfId="5" applyNumberFormat="1" applyFont="1" applyBorder="1" applyAlignment="1" applyProtection="1">
      <alignment horizontal="center" vertical="center"/>
    </xf>
    <xf numFmtId="166" fontId="10" fillId="0" borderId="9" xfId="5" applyNumberFormat="1" applyFont="1" applyBorder="1" applyAlignment="1" applyProtection="1">
      <alignment horizontal="center" vertical="center" wrapText="1"/>
    </xf>
    <xf numFmtId="166" fontId="10" fillId="0" borderId="11" xfId="5" applyNumberFormat="1" applyFont="1" applyBorder="1" applyAlignment="1" applyProtection="1">
      <alignment horizontal="center" vertical="center" wrapText="1"/>
    </xf>
    <xf numFmtId="4" fontId="10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/>
    </xf>
    <xf numFmtId="164" fontId="15" fillId="0" borderId="26" xfId="0" applyNumberFormat="1" applyFont="1" applyBorder="1" applyAlignment="1" applyProtection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</xf>
    <xf numFmtId="0" fontId="4" fillId="0" borderId="11" xfId="5" applyFont="1" applyBorder="1" applyAlignment="1" applyProtection="1">
      <alignment vertical="center" wrapText="1"/>
    </xf>
    <xf numFmtId="165" fontId="10" fillId="0" borderId="9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/>
    </xf>
    <xf numFmtId="3" fontId="10" fillId="0" borderId="31" xfId="5" applyNumberFormat="1" applyFont="1" applyBorder="1" applyAlignment="1" applyProtection="1">
      <alignment horizontal="center" vertical="center" wrapText="1"/>
    </xf>
    <xf numFmtId="170" fontId="4" fillId="0" borderId="9" xfId="5" applyNumberFormat="1" applyFont="1" applyBorder="1" applyAlignment="1" applyProtection="1">
      <alignment horizontal="center" vertical="center"/>
    </xf>
    <xf numFmtId="170" fontId="4" fillId="0" borderId="7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/>
    </xf>
    <xf numFmtId="164" fontId="4" fillId="0" borderId="31" xfId="5" applyNumberFormat="1" applyFont="1" applyBorder="1" applyAlignment="1" applyProtection="1">
      <alignment horizontal="center" vertical="center"/>
    </xf>
    <xf numFmtId="0" fontId="10" fillId="0" borderId="11" xfId="4" applyFont="1" applyBorder="1" applyAlignment="1" applyProtection="1">
      <alignment horizontal="left" vertical="center" wrapText="1"/>
    </xf>
    <xf numFmtId="164" fontId="0" fillId="0" borderId="7" xfId="5" applyNumberFormat="1" applyFont="1" applyBorder="1" applyAlignment="1" applyProtection="1"/>
    <xf numFmtId="3" fontId="10" fillId="0" borderId="8" xfId="5" applyNumberFormat="1" applyFont="1" applyBorder="1" applyAlignment="1" applyProtection="1">
      <alignment horizontal="center" vertical="center" wrapText="1"/>
    </xf>
    <xf numFmtId="171" fontId="10" fillId="0" borderId="9" xfId="5" applyNumberFormat="1" applyFont="1" applyBorder="1" applyAlignment="1" applyProtection="1">
      <alignment horizontal="center" vertical="center"/>
    </xf>
    <xf numFmtId="3" fontId="4" fillId="0" borderId="7" xfId="5" applyNumberFormat="1" applyFont="1" applyBorder="1" applyAlignment="1" applyProtection="1">
      <alignment horizontal="center" vertical="center"/>
    </xf>
    <xf numFmtId="0" fontId="10" fillId="0" borderId="30" xfId="5" applyFont="1" applyBorder="1" applyAlignment="1" applyProtection="1">
      <alignment horizontal="center" vertical="center" wrapText="1"/>
    </xf>
    <xf numFmtId="166" fontId="16" fillId="0" borderId="7" xfId="0" applyNumberFormat="1" applyFont="1" applyBorder="1" applyAlignment="1" applyProtection="1"/>
    <xf numFmtId="166" fontId="16" fillId="0" borderId="8" xfId="0" applyNumberFormat="1" applyFont="1" applyBorder="1" applyAlignment="1" applyProtection="1"/>
    <xf numFmtId="166" fontId="16" fillId="0" borderId="9" xfId="0" applyNumberFormat="1" applyFont="1" applyBorder="1" applyAlignment="1" applyProtection="1"/>
    <xf numFmtId="166" fontId="16" fillId="0" borderId="11" xfId="0" applyNumberFormat="1" applyFont="1" applyBorder="1" applyAlignment="1" applyProtection="1"/>
    <xf numFmtId="164" fontId="0" fillId="0" borderId="7" xfId="0" applyNumberFormat="1" applyFont="1" applyBorder="1" applyAlignment="1" applyProtection="1"/>
    <xf numFmtId="164" fontId="0" fillId="0" borderId="11" xfId="0" applyNumberFormat="1" applyFont="1" applyBorder="1" applyAlignment="1" applyProtection="1"/>
    <xf numFmtId="164" fontId="0" fillId="0" borderId="8" xfId="0" applyNumberFormat="1" applyFont="1" applyBorder="1" applyAlignment="1" applyProtection="1"/>
    <xf numFmtId="0" fontId="8" fillId="0" borderId="7" xfId="0" applyFont="1" applyBorder="1" applyAlignment="1" applyProtection="1"/>
    <xf numFmtId="168" fontId="4" fillId="0" borderId="8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 wrapText="1"/>
    </xf>
    <xf numFmtId="164" fontId="10" fillId="0" borderId="7" xfId="4" applyNumberFormat="1" applyFont="1" applyBorder="1" applyAlignment="1" applyProtection="1">
      <alignment horizontal="center" vertical="center" wrapText="1"/>
    </xf>
    <xf numFmtId="164" fontId="10" fillId="0" borderId="0" xfId="5" applyNumberFormat="1" applyFont="1" applyBorder="1" applyAlignment="1" applyProtection="1">
      <alignment horizontal="center" vertical="center" wrapText="1"/>
    </xf>
    <xf numFmtId="166" fontId="0" fillId="0" borderId="32" xfId="0" applyNumberFormat="1" applyFont="1" applyBorder="1" applyAlignment="1" applyProtection="1"/>
    <xf numFmtId="168" fontId="4" fillId="0" borderId="7" xfId="5" applyNumberFormat="1" applyFont="1" applyBorder="1" applyAlignment="1" applyProtection="1">
      <alignment horizontal="center" vertical="center" wrapText="1"/>
    </xf>
    <xf numFmtId="164" fontId="10" fillId="0" borderId="8" xfId="4" applyNumberFormat="1" applyFont="1" applyBorder="1" applyAlignment="1" applyProtection="1">
      <alignment horizontal="center" vertical="center" wrapText="1"/>
    </xf>
    <xf numFmtId="165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4" applyNumberFormat="1" applyFont="1" applyBorder="1" applyAlignment="1" applyProtection="1">
      <alignment horizontal="center" vertical="center" wrapText="1"/>
    </xf>
    <xf numFmtId="164" fontId="4" fillId="0" borderId="8" xfId="4" applyNumberFormat="1" applyFont="1" applyBorder="1" applyAlignment="1" applyProtection="1">
      <alignment horizontal="center" vertical="center" wrapText="1"/>
    </xf>
    <xf numFmtId="171" fontId="4" fillId="0" borderId="7" xfId="5" applyNumberFormat="1" applyFont="1" applyBorder="1" applyAlignment="1" applyProtection="1">
      <alignment horizontal="center" vertical="center" wrapText="1"/>
    </xf>
    <xf numFmtId="166" fontId="10" fillId="0" borderId="32" xfId="5" applyNumberFormat="1" applyFont="1" applyBorder="1" applyAlignment="1" applyProtection="1">
      <alignment horizontal="center" vertical="center" wrapText="1"/>
    </xf>
    <xf numFmtId="164" fontId="10" fillId="0" borderId="32" xfId="5" applyNumberFormat="1" applyFont="1" applyBorder="1" applyAlignment="1" applyProtection="1">
      <alignment horizontal="center" vertical="center" wrapText="1"/>
    </xf>
    <xf numFmtId="0" fontId="0" fillId="0" borderId="33" xfId="0" applyFont="1" applyBorder="1" applyAlignment="1" applyProtection="1"/>
    <xf numFmtId="166" fontId="10" fillId="0" borderId="8" xfId="5" applyNumberFormat="1" applyFont="1" applyBorder="1" applyAlignment="1" applyProtection="1">
      <alignment horizontal="center" vertical="center" wrapText="1"/>
    </xf>
    <xf numFmtId="166" fontId="4" fillId="0" borderId="11" xfId="5" applyNumberFormat="1" applyFont="1" applyBorder="1" applyAlignment="1" applyProtection="1">
      <alignment horizontal="center" vertical="center" wrapText="1"/>
    </xf>
    <xf numFmtId="164" fontId="0" fillId="0" borderId="0" xfId="0" applyNumberFormat="1" applyFont="1" applyAlignment="1" applyProtection="1"/>
    <xf numFmtId="3" fontId="4" fillId="0" borderId="7" xfId="4" applyNumberFormat="1" applyFont="1" applyBorder="1" applyAlignment="1" applyProtection="1">
      <alignment horizontal="center" vertical="center" wrapText="1"/>
    </xf>
    <xf numFmtId="3" fontId="4" fillId="0" borderId="8" xfId="4" applyNumberFormat="1" applyFont="1" applyBorder="1" applyAlignment="1" applyProtection="1">
      <alignment horizontal="center" vertical="center" wrapText="1"/>
    </xf>
    <xf numFmtId="4" fontId="4" fillId="0" borderId="7" xfId="5" applyNumberFormat="1" applyFont="1" applyBorder="1" applyAlignment="1" applyProtection="1">
      <alignment horizontal="center" vertical="center" wrapText="1"/>
    </xf>
    <xf numFmtId="4" fontId="4" fillId="0" borderId="8" xfId="5" applyNumberFormat="1" applyFont="1" applyBorder="1" applyAlignment="1" applyProtection="1">
      <alignment horizontal="center" vertical="center" wrapText="1"/>
    </xf>
    <xf numFmtId="165" fontId="0" fillId="0" borderId="0" xfId="0" applyNumberFormat="1" applyFont="1" applyAlignment="1" applyProtection="1"/>
    <xf numFmtId="0" fontId="4" fillId="0" borderId="26" xfId="5" applyFont="1" applyBorder="1" applyAlignment="1" applyProtection="1">
      <alignment vertical="center" wrapText="1"/>
    </xf>
    <xf numFmtId="2" fontId="10" fillId="0" borderId="7" xfId="5" applyNumberFormat="1" applyFont="1" applyBorder="1" applyAlignment="1" applyProtection="1">
      <alignment horizontal="center" vertical="center"/>
    </xf>
    <xf numFmtId="2" fontId="10" fillId="0" borderId="9" xfId="5" applyNumberFormat="1" applyFont="1" applyBorder="1" applyAlignment="1" applyProtection="1">
      <alignment horizontal="center" vertical="center"/>
    </xf>
    <xf numFmtId="0" fontId="18" fillId="0" borderId="11" xfId="5" applyFont="1" applyBorder="1" applyAlignment="1" applyProtection="1">
      <alignment vertical="center" wrapText="1"/>
    </xf>
    <xf numFmtId="166" fontId="18" fillId="0" borderId="7" xfId="5" applyNumberFormat="1" applyFont="1" applyBorder="1" applyAlignment="1" applyProtection="1">
      <alignment horizontal="center" vertical="center" wrapText="1"/>
    </xf>
    <xf numFmtId="4" fontId="19" fillId="0" borderId="7" xfId="5" applyNumberFormat="1" applyFont="1" applyBorder="1" applyAlignment="1" applyProtection="1">
      <alignment horizontal="center" vertical="center" wrapText="1"/>
    </xf>
    <xf numFmtId="164" fontId="18" fillId="0" borderId="7" xfId="5" applyNumberFormat="1" applyFont="1" applyBorder="1" applyAlignment="1" applyProtection="1">
      <alignment horizontal="center" vertical="center" wrapText="1"/>
    </xf>
    <xf numFmtId="0" fontId="4" fillId="0" borderId="34" xfId="5" applyFont="1" applyBorder="1" applyAlignment="1" applyProtection="1">
      <alignment horizontal="center" vertical="center" wrapText="1"/>
    </xf>
    <xf numFmtId="0" fontId="18" fillId="0" borderId="13" xfId="5" applyFont="1" applyBorder="1" applyAlignment="1" applyProtection="1">
      <alignment vertical="center" wrapText="1"/>
    </xf>
    <xf numFmtId="166" fontId="18" fillId="0" borderId="10" xfId="5" applyNumberFormat="1" applyFont="1" applyBorder="1" applyAlignment="1" applyProtection="1">
      <alignment horizontal="center" vertical="center" wrapText="1"/>
    </xf>
    <xf numFmtId="4" fontId="19" fillId="0" borderId="10" xfId="5" applyNumberFormat="1" applyFont="1" applyBorder="1" applyAlignment="1" applyProtection="1">
      <alignment horizontal="center" vertical="center" wrapText="1"/>
    </xf>
    <xf numFmtId="164" fontId="18" fillId="0" borderId="10" xfId="5" applyNumberFormat="1" applyFont="1" applyBorder="1" applyAlignment="1" applyProtection="1">
      <alignment horizontal="center" vertical="center" wrapText="1"/>
    </xf>
    <xf numFmtId="164" fontId="10" fillId="0" borderId="10" xfId="5" applyNumberFormat="1" applyFont="1" applyBorder="1" applyAlignment="1" applyProtection="1">
      <alignment horizontal="center" vertical="center" wrapText="1"/>
    </xf>
    <xf numFmtId="164" fontId="10" fillId="0" borderId="14" xfId="5" applyNumberFormat="1" applyFont="1" applyBorder="1" applyAlignment="1" applyProtection="1">
      <alignment horizontal="center" vertical="center" wrapText="1"/>
    </xf>
    <xf numFmtId="0" fontId="4" fillId="0" borderId="24" xfId="5" applyFont="1" applyBorder="1" applyAlignment="1" applyProtection="1">
      <alignment horizontal="center" vertical="center" wrapText="1"/>
    </xf>
    <xf numFmtId="0" fontId="18" fillId="0" borderId="7" xfId="5" applyFont="1" applyBorder="1" applyAlignment="1" applyProtection="1">
      <alignment vertical="center" wrapText="1"/>
    </xf>
    <xf numFmtId="0" fontId="4" fillId="0" borderId="35" xfId="5" applyFont="1" applyBorder="1" applyAlignment="1" applyProtection="1">
      <alignment horizontal="center" vertical="center" wrapText="1"/>
    </xf>
    <xf numFmtId="0" fontId="4" fillId="0" borderId="36" xfId="4" applyFont="1" applyBorder="1" applyAlignment="1" applyProtection="1">
      <alignment horizontal="left" vertical="center" wrapText="1"/>
    </xf>
    <xf numFmtId="166" fontId="4" fillId="0" borderId="36" xfId="5" applyNumberFormat="1" applyFont="1" applyBorder="1" applyAlignment="1" applyProtection="1">
      <alignment horizontal="center" vertical="center" wrapText="1"/>
    </xf>
    <xf numFmtId="4" fontId="10" fillId="0" borderId="36" xfId="5" applyNumberFormat="1" applyFont="1" applyBorder="1" applyAlignment="1" applyProtection="1">
      <alignment horizontal="center" vertical="center" wrapText="1"/>
    </xf>
    <xf numFmtId="164" fontId="4" fillId="0" borderId="36" xfId="5" applyNumberFormat="1" applyFont="1" applyBorder="1" applyAlignment="1" applyProtection="1">
      <alignment horizontal="center" vertical="center" wrapText="1"/>
    </xf>
    <xf numFmtId="164" fontId="10" fillId="0" borderId="36" xfId="5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/>
    <xf numFmtId="172" fontId="0" fillId="0" borderId="0" xfId="0" applyNumberFormat="1" applyFont="1" applyAlignment="1" applyProtection="1"/>
    <xf numFmtId="164" fontId="4" fillId="0" borderId="7" xfId="5" applyNumberFormat="1" applyFont="1" applyFill="1" applyBorder="1" applyAlignment="1" applyProtection="1">
      <alignment horizontal="center" vertical="center" wrapText="1"/>
    </xf>
    <xf numFmtId="4" fontId="4" fillId="0" borderId="7" xfId="5" applyNumberFormat="1" applyFont="1" applyFill="1" applyBorder="1" applyAlignment="1" applyProtection="1">
      <alignment horizontal="center" vertical="center" wrapText="1"/>
    </xf>
    <xf numFmtId="168" fontId="4" fillId="0" borderId="31" xfId="5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Alignment="1" applyProtection="1"/>
    <xf numFmtId="166" fontId="4" fillId="0" borderId="7" xfId="5" applyNumberFormat="1" applyFont="1" applyFill="1" applyBorder="1" applyAlignment="1" applyProtection="1">
      <alignment horizontal="center" vertical="center" wrapText="1"/>
    </xf>
    <xf numFmtId="171" fontId="4" fillId="0" borderId="7" xfId="5" applyNumberFormat="1" applyFont="1" applyFill="1" applyBorder="1" applyAlignment="1" applyProtection="1">
      <alignment horizontal="center" vertical="center" wrapText="1"/>
    </xf>
    <xf numFmtId="0" fontId="4" fillId="0" borderId="38" xfId="5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left" vertical="center" wrapText="1"/>
    </xf>
    <xf numFmtId="164" fontId="4" fillId="0" borderId="10" xfId="5" applyNumberFormat="1" applyFont="1" applyBorder="1" applyAlignment="1" applyProtection="1">
      <alignment horizontal="center" vertical="center" wrapText="1"/>
    </xf>
    <xf numFmtId="166" fontId="4" fillId="0" borderId="10" xfId="5" applyNumberFormat="1" applyFont="1" applyBorder="1" applyAlignment="1" applyProtection="1">
      <alignment horizontal="center" vertical="center" wrapText="1"/>
    </xf>
    <xf numFmtId="164" fontId="4" fillId="0" borderId="37" xfId="5" applyNumberFormat="1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164" fontId="4" fillId="0" borderId="7" xfId="4" applyNumberFormat="1" applyFont="1" applyFill="1" applyBorder="1" applyAlignment="1" applyProtection="1">
      <alignment horizontal="center" vertical="center" wrapText="1"/>
    </xf>
    <xf numFmtId="164" fontId="21" fillId="0" borderId="7" xfId="0" applyNumberFormat="1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6" fillId="0" borderId="0" xfId="5" applyFont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9" xfId="5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wrapText="1"/>
    </xf>
    <xf numFmtId="0" fontId="6" fillId="0" borderId="23" xfId="5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 vertical="center" wrapText="1"/>
    </xf>
  </cellXfs>
  <cellStyles count="7">
    <cellStyle name="Обычный" xfId="0" builtinId="0"/>
    <cellStyle name="Обычный 15" xfId="1"/>
    <cellStyle name="Обычный 2" xfId="2"/>
    <cellStyle name="Обычный_219-пп_Приложение 2" xfId="3"/>
    <cellStyle name="Обычный_ВЫПОЛНЕНИЕ программы ИЖС-2010 год" xfId="4"/>
    <cellStyle name="Стиль 1" xfId="5"/>
    <cellStyle name="Стиль 1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B08B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240"/>
  <sheetViews>
    <sheetView tabSelected="1" view="pageBreakPreview" topLeftCell="A196" zoomScale="75" zoomScaleNormal="75" zoomScalePageLayoutView="75" workbookViewId="0">
      <selection activeCell="F35" sqref="F35"/>
    </sheetView>
  </sheetViews>
  <sheetFormatPr defaultColWidth="9.140625" defaultRowHeight="18.75"/>
  <cols>
    <col min="1" max="1" width="6.5703125" style="1" customWidth="1"/>
    <col min="2" max="2" width="59.28515625" style="2" customWidth="1"/>
    <col min="3" max="4" width="12" style="2" customWidth="1"/>
    <col min="5" max="5" width="17" style="2" customWidth="1"/>
    <col min="6" max="6" width="18.5703125" style="2" customWidth="1"/>
    <col min="7" max="7" width="15.7109375" style="2" customWidth="1"/>
    <col min="8" max="8" width="12.28515625" style="2" customWidth="1"/>
    <col min="9" max="9" width="9.85546875" style="2" customWidth="1"/>
    <col min="10" max="10" width="16.28515625" style="2" customWidth="1"/>
    <col min="11" max="11" width="16.85546875" style="2" customWidth="1"/>
    <col min="12" max="12" width="14.28515625" style="2" customWidth="1"/>
    <col min="13" max="14" width="10.28515625" style="2" customWidth="1"/>
    <col min="15" max="15" width="17.140625" style="2" customWidth="1"/>
    <col min="16" max="16" width="16" style="2" customWidth="1"/>
    <col min="17" max="17" width="13.140625" style="2" customWidth="1"/>
    <col min="18" max="18" width="9" style="2" hidden="1" customWidth="1"/>
    <col min="19" max="19" width="9.7109375" style="2" hidden="1" customWidth="1"/>
    <col min="20" max="21" width="15.5703125" style="2" hidden="1" customWidth="1"/>
    <col min="22" max="22" width="12.7109375" style="2" hidden="1" customWidth="1"/>
    <col min="23" max="23" width="16.5703125" style="2" customWidth="1"/>
    <col min="24" max="24" width="14.42578125" style="2" customWidth="1"/>
    <col min="25" max="25" width="9.140625" style="2"/>
    <col min="26" max="26" width="17" style="2" customWidth="1"/>
    <col min="27" max="38" width="9.140625" style="2"/>
    <col min="39" max="42" width="9.140625" style="3"/>
    <col min="43" max="16384" width="9.140625" style="4"/>
  </cols>
  <sheetData>
    <row r="1" spans="1:44" ht="83.25" customHeight="1">
      <c r="A1" s="5"/>
      <c r="B1" s="6"/>
      <c r="C1" s="7"/>
      <c r="D1" s="7"/>
      <c r="E1" s="7"/>
      <c r="F1" s="7"/>
      <c r="G1" s="7"/>
      <c r="H1" s="8"/>
      <c r="I1" s="9"/>
      <c r="J1" s="9"/>
      <c r="K1" s="194" t="s">
        <v>232</v>
      </c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4" ht="22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4" ht="42" customHeight="1">
      <c r="A3" s="196" t="s">
        <v>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4" ht="21" customHeight="1" thickBot="1">
      <c r="A4" s="5"/>
      <c r="B4" s="6"/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  <c r="R4" s="12"/>
      <c r="S4" s="12"/>
      <c r="T4" s="12"/>
      <c r="U4" s="12"/>
      <c r="V4" s="12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4" s="13" customFormat="1" ht="27.75" customHeight="1" thickBot="1">
      <c r="A5" s="197" t="s">
        <v>1</v>
      </c>
      <c r="B5" s="198" t="s">
        <v>2</v>
      </c>
      <c r="C5" s="199" t="s">
        <v>3</v>
      </c>
      <c r="D5" s="199"/>
      <c r="E5" s="199"/>
      <c r="F5" s="199"/>
      <c r="G5" s="199"/>
      <c r="H5" s="199" t="s">
        <v>4</v>
      </c>
      <c r="I5" s="199"/>
      <c r="J5" s="199"/>
      <c r="K5" s="199"/>
      <c r="L5" s="199"/>
      <c r="M5" s="200" t="s">
        <v>5</v>
      </c>
      <c r="N5" s="200"/>
      <c r="O5" s="200"/>
      <c r="P5" s="200"/>
      <c r="Q5" s="200"/>
      <c r="R5" s="201" t="s">
        <v>6</v>
      </c>
      <c r="S5" s="201"/>
      <c r="T5" s="201"/>
      <c r="U5" s="201"/>
      <c r="V5" s="201"/>
      <c r="W5" s="4"/>
      <c r="X5" s="4"/>
      <c r="Y5" s="4"/>
      <c r="Z5" s="4"/>
      <c r="AA5" s="4"/>
      <c r="AB5" s="4" t="s">
        <v>7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16" customFormat="1" ht="29.25" customHeight="1" thickBot="1">
      <c r="A6" s="197"/>
      <c r="B6" s="198"/>
      <c r="C6" s="205" t="s">
        <v>8</v>
      </c>
      <c r="D6" s="205"/>
      <c r="E6" s="205" t="s">
        <v>198</v>
      </c>
      <c r="F6" s="205" t="s">
        <v>9</v>
      </c>
      <c r="G6" s="205"/>
      <c r="H6" s="205" t="s">
        <v>8</v>
      </c>
      <c r="I6" s="205"/>
      <c r="J6" s="205" t="s">
        <v>200</v>
      </c>
      <c r="K6" s="205" t="s">
        <v>9</v>
      </c>
      <c r="L6" s="205"/>
      <c r="M6" s="205" t="s">
        <v>8</v>
      </c>
      <c r="N6" s="205"/>
      <c r="O6" s="205" t="s">
        <v>202</v>
      </c>
      <c r="P6" s="204" t="s">
        <v>9</v>
      </c>
      <c r="Q6" s="204"/>
      <c r="R6" s="202" t="s">
        <v>8</v>
      </c>
      <c r="S6" s="202"/>
      <c r="T6" s="203" t="s">
        <v>10</v>
      </c>
      <c r="U6" s="204" t="s">
        <v>9</v>
      </c>
      <c r="V6" s="204"/>
      <c r="W6" s="11"/>
      <c r="X6" s="11"/>
      <c r="Y6" s="11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16" customFormat="1" ht="76.5" customHeight="1" thickBot="1">
      <c r="A7" s="197"/>
      <c r="B7" s="198"/>
      <c r="C7" s="14" t="s">
        <v>11</v>
      </c>
      <c r="D7" s="14" t="s">
        <v>12</v>
      </c>
      <c r="E7" s="205"/>
      <c r="F7" s="14" t="s">
        <v>199</v>
      </c>
      <c r="G7" s="14" t="s">
        <v>13</v>
      </c>
      <c r="H7" s="14" t="s">
        <v>11</v>
      </c>
      <c r="I7" s="14" t="s">
        <v>12</v>
      </c>
      <c r="J7" s="205"/>
      <c r="K7" s="14" t="s">
        <v>201</v>
      </c>
      <c r="L7" s="14" t="s">
        <v>13</v>
      </c>
      <c r="M7" s="14" t="s">
        <v>11</v>
      </c>
      <c r="N7" s="14" t="s">
        <v>12</v>
      </c>
      <c r="O7" s="205"/>
      <c r="P7" s="17" t="s">
        <v>203</v>
      </c>
      <c r="Q7" s="15" t="s">
        <v>13</v>
      </c>
      <c r="R7" s="18" t="s">
        <v>11</v>
      </c>
      <c r="S7" s="18" t="s">
        <v>12</v>
      </c>
      <c r="T7" s="203"/>
      <c r="U7" s="19" t="s">
        <v>14</v>
      </c>
      <c r="V7" s="20" t="s">
        <v>13</v>
      </c>
      <c r="W7" s="11"/>
      <c r="X7" s="11"/>
      <c r="Y7" s="11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s="29" customFormat="1" ht="27.75" customHeight="1" thickBot="1">
      <c r="A8" s="21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3">
        <v>16</v>
      </c>
      <c r="Q8" s="24">
        <v>17</v>
      </c>
      <c r="R8" s="25">
        <v>22</v>
      </c>
      <c r="S8" s="25">
        <v>23</v>
      </c>
      <c r="T8" s="26">
        <v>24</v>
      </c>
      <c r="U8" s="27">
        <v>25</v>
      </c>
      <c r="V8" s="28">
        <v>26</v>
      </c>
      <c r="W8" s="11"/>
      <c r="X8" s="11"/>
      <c r="Y8" s="11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s="30" customFormat="1" ht="44.25" customHeight="1">
      <c r="A9" s="207" t="s">
        <v>15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5"/>
      <c r="S9" s="5"/>
      <c r="T9" s="5"/>
      <c r="U9" s="5"/>
      <c r="V9" s="5"/>
      <c r="W9" s="11"/>
      <c r="X9" s="11"/>
      <c r="Y9" s="11"/>
      <c r="Z9" s="11" t="s">
        <v>16</v>
      </c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s="30" customFormat="1" ht="43.5" customHeight="1">
      <c r="A10" s="31"/>
      <c r="B10" s="208" t="s">
        <v>17</v>
      </c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5"/>
      <c r="S10" s="5"/>
      <c r="T10" s="5"/>
      <c r="U10" s="5"/>
      <c r="V10" s="5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s="37" customFormat="1" ht="36" customHeight="1">
      <c r="A11" s="32"/>
      <c r="B11" s="33" t="s">
        <v>18</v>
      </c>
      <c r="C11" s="34">
        <f>C15+C28+C50+C56+C68+C82+C93+C97+C105+C115+C141+C152+C155+C168+C181+C189+C199+C209</f>
        <v>106.86970000000002</v>
      </c>
      <c r="D11" s="34">
        <f>D15+D28+D50+D56+D68+D82+D93+D97+D105+D115+D141+D152+D155+D168+D181+D199+D209</f>
        <v>0</v>
      </c>
      <c r="E11" s="34">
        <f>E15+E28+E50+E56+E68+E82+E93+E97+E105+E115+E141+E152+E155+E168+E181+E189+E199+E209</f>
        <v>1983674.0090299998</v>
      </c>
      <c r="F11" s="34">
        <f>F15+F28+F50+F56+F68+F82+F93+F97+F105+F115+F141+F152+F155+F168+F181+F189+F199+F209</f>
        <v>1860280.17</v>
      </c>
      <c r="G11" s="34">
        <f>G15+G28+G50+G56+G68+G82+G93+G97+G105+G115+G141+G152+G155+G168+G181+G189+G199+G209</f>
        <v>123393.83903000002</v>
      </c>
      <c r="H11" s="34">
        <f t="shared" ref="H11:Q11" si="0">H15+H28+H50+H56+H68+H82+H93+H97+H105+H115+H141+H152+H155+H168+H181+H199+H209</f>
        <v>83.096000000000004</v>
      </c>
      <c r="I11" s="34">
        <f t="shared" si="0"/>
        <v>361</v>
      </c>
      <c r="J11" s="34">
        <f t="shared" si="0"/>
        <v>1686012.6707200001</v>
      </c>
      <c r="K11" s="34">
        <f t="shared" si="0"/>
        <v>1582380.6999788</v>
      </c>
      <c r="L11" s="34">
        <f t="shared" si="0"/>
        <v>103631.97074120003</v>
      </c>
      <c r="M11" s="34">
        <f t="shared" si="0"/>
        <v>46.126300000000001</v>
      </c>
      <c r="N11" s="34">
        <f t="shared" si="0"/>
        <v>260</v>
      </c>
      <c r="O11" s="34">
        <f t="shared" si="0"/>
        <v>1750966.7</v>
      </c>
      <c r="P11" s="34">
        <f t="shared" si="0"/>
        <v>1647172.3</v>
      </c>
      <c r="Q11" s="35">
        <f t="shared" si="0"/>
        <v>103794.40000000002</v>
      </c>
      <c r="R11" s="36" t="e">
        <f>R15+R28+R50+R56+R66+R68+R82+R84+R93+R97+R105+R115+R141+R152+R155+R168+R179+R181+#REF!+#REF!+R199+R209</f>
        <v>#REF!</v>
      </c>
      <c r="S11" s="36" t="e">
        <f>S15+S28+S50+S56+S66+S68+S82+S84+S93+S97+S105+S115+S141+S152+S155+S168+S179+S181+#REF!+#REF!+S199+S209</f>
        <v>#REF!</v>
      </c>
      <c r="T11" s="36" t="e">
        <f>T15+T28+T50+T56+T66+T68+T82+T84+T93+T97+T105+T115+T141+T152+T155+T168+T179+T181+#REF!+#REF!+T199+T209</f>
        <v>#REF!</v>
      </c>
      <c r="U11" s="36" t="e">
        <f>U15+U28+U50+U56+U66+U68+U82+U84+U93+U97+U105+U115+U141+U152+U155+U168+U179+U181+#REF!+#REF!+U199+U209</f>
        <v>#REF!</v>
      </c>
      <c r="V11" s="36" t="e">
        <f>V15+V28+V50+V56+V66+V68+V82+V84+V93+V97+V105+V115+V141+V152+V155+V168+V179+V181+#REF!+#REF!+V199+V209</f>
        <v>#REF!</v>
      </c>
      <c r="W11" s="36" t="e">
        <f>E11-#REF!</f>
        <v>#REF!</v>
      </c>
      <c r="X11" s="36" t="e">
        <f>F11-#REF!</f>
        <v>#REF!</v>
      </c>
      <c r="Y11" s="36"/>
      <c r="Z11" s="36" t="e">
        <f>G11-#REF!</f>
        <v>#REF!</v>
      </c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26.25" customHeight="1">
      <c r="A12" s="38"/>
      <c r="B12" s="39" t="s">
        <v>19</v>
      </c>
      <c r="C12" s="40"/>
      <c r="D12" s="40"/>
      <c r="E12" s="40"/>
      <c r="F12" s="40"/>
      <c r="G12" s="40"/>
      <c r="H12" s="41"/>
      <c r="I12" s="41"/>
      <c r="J12" s="41"/>
      <c r="K12" s="41"/>
      <c r="L12" s="41"/>
      <c r="M12" s="40"/>
      <c r="N12" s="40"/>
      <c r="O12" s="40"/>
      <c r="P12" s="40"/>
      <c r="Q12" s="42"/>
      <c r="R12" s="43"/>
      <c r="S12" s="43"/>
      <c r="T12" s="41"/>
      <c r="U12" s="44"/>
      <c r="V12" s="45"/>
      <c r="W12" s="11"/>
      <c r="X12" s="11"/>
      <c r="Y12" s="11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4" s="13" customFormat="1" ht="27" customHeight="1">
      <c r="A13" s="46"/>
      <c r="B13" s="47" t="s">
        <v>20</v>
      </c>
      <c r="C13" s="48"/>
      <c r="D13" s="48"/>
      <c r="E13" s="34"/>
      <c r="F13" s="34">
        <f>F15+F28+F50+F56+F68+F82+F93+F97+F105+F115+F141+F152+F155+F168+F181+F189+F199+F209</f>
        <v>1860280.17</v>
      </c>
      <c r="G13" s="34"/>
      <c r="H13" s="34"/>
      <c r="I13" s="34"/>
      <c r="J13" s="34"/>
      <c r="K13" s="34">
        <f>K15+K28+K50+K56+K68+K82+K93+K97+K105+K115+K141+K152+K155+K168+K181+K199+K209</f>
        <v>1582380.6999788</v>
      </c>
      <c r="L13" s="34"/>
      <c r="M13" s="48"/>
      <c r="N13" s="48"/>
      <c r="O13" s="34"/>
      <c r="P13" s="34">
        <f>P15+P28+P50+P56+P68+P82+P93+P97+P105+P115+P141+P152+P155+P168+P181+P199+P209</f>
        <v>1647172.3</v>
      </c>
      <c r="Q13" s="35"/>
      <c r="R13" s="49"/>
      <c r="S13" s="49"/>
      <c r="T13" s="50"/>
      <c r="U13" s="51"/>
      <c r="V13" s="52"/>
      <c r="W13" s="11"/>
      <c r="X13" s="11"/>
      <c r="Y13" s="11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s="13" customFormat="1" ht="42.75" customHeight="1">
      <c r="A14" s="46"/>
      <c r="B14" s="47" t="s">
        <v>21</v>
      </c>
      <c r="C14" s="53"/>
      <c r="D14" s="53"/>
      <c r="E14" s="53"/>
      <c r="F14" s="53"/>
      <c r="G14" s="34">
        <f>G15+G28+G50+G56+G68+G82+G93+G97+G105+G115+G141+G152+G155+G168+G181+G189+G199+G209</f>
        <v>123393.83903000002</v>
      </c>
      <c r="H14" s="54"/>
      <c r="I14" s="54"/>
      <c r="J14" s="54"/>
      <c r="K14" s="54"/>
      <c r="L14" s="34">
        <f>L15+L28+L50+L56+L68+L82+L93+L97+L105+L115+L141+L152+L155+L168+L181+L199+L209</f>
        <v>103631.97074120003</v>
      </c>
      <c r="M14" s="53"/>
      <c r="N14" s="53"/>
      <c r="O14" s="53"/>
      <c r="P14" s="53"/>
      <c r="Q14" s="35">
        <f>Q15+Q28+Q50+Q56+Q68+Q82+Q93+Q97+Q105+Q115+Q141+Q152+Q155+Q168+Q181+Q199+Q209</f>
        <v>103794.40000000002</v>
      </c>
      <c r="R14" s="55"/>
      <c r="S14" s="55"/>
      <c r="T14" s="56"/>
      <c r="U14" s="57"/>
      <c r="V14" s="52"/>
      <c r="W14" s="11"/>
      <c r="X14" s="11"/>
      <c r="Y14" s="11"/>
      <c r="Z14" s="4"/>
      <c r="AA14" s="4" t="s">
        <v>7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s="13" customFormat="1" ht="27" customHeight="1">
      <c r="A15" s="46"/>
      <c r="B15" s="58" t="s">
        <v>22</v>
      </c>
      <c r="C15" s="59">
        <f>C16</f>
        <v>10.3</v>
      </c>
      <c r="D15" s="56"/>
      <c r="E15" s="59">
        <f>E16</f>
        <v>237999.99999999997</v>
      </c>
      <c r="F15" s="59">
        <f>F16</f>
        <v>223719.99999999997</v>
      </c>
      <c r="G15" s="60">
        <f>G16</f>
        <v>14280.000000000007</v>
      </c>
      <c r="H15" s="59"/>
      <c r="I15" s="59"/>
      <c r="J15" s="59"/>
      <c r="K15" s="59"/>
      <c r="L15" s="59"/>
      <c r="M15" s="59">
        <f>M16</f>
        <v>8.43</v>
      </c>
      <c r="N15" s="59"/>
      <c r="O15" s="59">
        <f>O16</f>
        <v>554519.80000000005</v>
      </c>
      <c r="P15" s="59">
        <f>P16</f>
        <v>521248.60000000003</v>
      </c>
      <c r="Q15" s="61">
        <f>Q16</f>
        <v>33271.200000000012</v>
      </c>
      <c r="R15" s="62">
        <v>10.3</v>
      </c>
      <c r="S15" s="59"/>
      <c r="T15" s="59">
        <v>238000</v>
      </c>
      <c r="U15" s="59">
        <v>223720</v>
      </c>
      <c r="V15" s="61">
        <f>T15-U15</f>
        <v>14280</v>
      </c>
      <c r="W15" s="63"/>
      <c r="X15" s="64"/>
      <c r="Y15" s="11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s="13" customFormat="1" ht="46.5" customHeight="1">
      <c r="A16" s="65"/>
      <c r="B16" s="66" t="s">
        <v>212</v>
      </c>
      <c r="C16" s="67">
        <f>SUM(C17:C27)</f>
        <v>10.3</v>
      </c>
      <c r="D16" s="68"/>
      <c r="E16" s="69">
        <f>SUM(E17:E27)</f>
        <v>237999.99999999997</v>
      </c>
      <c r="F16" s="69">
        <f>SUM(F17:F27)</f>
        <v>223719.99999999997</v>
      </c>
      <c r="G16" s="70">
        <f>SUM(G17:G27)</f>
        <v>14280.000000000007</v>
      </c>
      <c r="H16" s="69"/>
      <c r="I16" s="71"/>
      <c r="J16" s="71"/>
      <c r="K16" s="71"/>
      <c r="L16" s="71"/>
      <c r="M16" s="115">
        <v>8.43</v>
      </c>
      <c r="N16" s="71"/>
      <c r="O16" s="69">
        <v>554519.80000000005</v>
      </c>
      <c r="P16" s="69">
        <f>O16*0.94-0.012</f>
        <v>521248.60000000003</v>
      </c>
      <c r="Q16" s="73">
        <f>O16-P16</f>
        <v>33271.200000000012</v>
      </c>
      <c r="R16" s="74">
        <v>10.3</v>
      </c>
      <c r="S16" s="69"/>
      <c r="T16" s="69">
        <v>238000</v>
      </c>
      <c r="U16" s="69">
        <v>223720</v>
      </c>
      <c r="V16" s="73">
        <f>T16-U16</f>
        <v>14280</v>
      </c>
      <c r="W16" s="11"/>
      <c r="X16" s="11"/>
      <c r="Y16" s="11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13" customFormat="1" ht="27" customHeight="1">
      <c r="A17" s="65">
        <v>1</v>
      </c>
      <c r="B17" s="66" t="s">
        <v>23</v>
      </c>
      <c r="C17" s="67">
        <v>2.0990000000000002</v>
      </c>
      <c r="D17" s="68"/>
      <c r="E17" s="69">
        <v>29502.191490000001</v>
      </c>
      <c r="F17" s="69">
        <f t="shared" ref="F17:F27" si="1">E17*0.94</f>
        <v>27732.060000599999</v>
      </c>
      <c r="G17" s="70">
        <f t="shared" ref="G17:G27" si="2">E17-F17</f>
        <v>1770.1314894000025</v>
      </c>
      <c r="H17" s="69"/>
      <c r="I17" s="71"/>
      <c r="J17" s="71"/>
      <c r="K17" s="71"/>
      <c r="L17" s="71"/>
      <c r="M17" s="71"/>
      <c r="N17" s="71"/>
      <c r="O17" s="71"/>
      <c r="P17" s="71"/>
      <c r="Q17" s="75"/>
      <c r="R17" s="74"/>
      <c r="S17" s="76"/>
      <c r="T17" s="69"/>
      <c r="U17" s="70"/>
      <c r="V17" s="73"/>
      <c r="W17" s="11"/>
      <c r="X17" s="11"/>
      <c r="Y17" s="11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s="13" customFormat="1" ht="27" customHeight="1">
      <c r="A18" s="65">
        <v>2</v>
      </c>
      <c r="B18" s="66" t="s">
        <v>24</v>
      </c>
      <c r="C18" s="67">
        <v>1.54</v>
      </c>
      <c r="D18" s="68"/>
      <c r="E18" s="69">
        <v>59025.596689999998</v>
      </c>
      <c r="F18" s="69">
        <f t="shared" si="1"/>
        <v>55484.060888599997</v>
      </c>
      <c r="G18" s="70">
        <f t="shared" si="2"/>
        <v>3541.5358014000012</v>
      </c>
      <c r="H18" s="69"/>
      <c r="I18" s="71"/>
      <c r="J18" s="71"/>
      <c r="K18" s="71"/>
      <c r="L18" s="71"/>
      <c r="M18" s="71"/>
      <c r="N18" s="71"/>
      <c r="O18" s="71"/>
      <c r="P18" s="71"/>
      <c r="Q18" s="75"/>
      <c r="R18" s="74"/>
      <c r="S18" s="76"/>
      <c r="T18" s="69"/>
      <c r="U18" s="70"/>
      <c r="V18" s="73"/>
      <c r="W18" s="11"/>
      <c r="X18" s="11"/>
      <c r="Y18" s="11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s="13" customFormat="1" ht="27" customHeight="1">
      <c r="A19" s="65">
        <v>3</v>
      </c>
      <c r="B19" s="66" t="s">
        <v>25</v>
      </c>
      <c r="C19" s="67">
        <v>1.224</v>
      </c>
      <c r="D19" s="68"/>
      <c r="E19" s="69">
        <v>10694.377909999999</v>
      </c>
      <c r="F19" s="69">
        <f t="shared" si="1"/>
        <v>10052.715235399999</v>
      </c>
      <c r="G19" s="70">
        <f t="shared" si="2"/>
        <v>641.66267460000017</v>
      </c>
      <c r="H19" s="69"/>
      <c r="I19" s="71"/>
      <c r="J19" s="71"/>
      <c r="K19" s="71"/>
      <c r="L19" s="71"/>
      <c r="M19" s="71"/>
      <c r="N19" s="71"/>
      <c r="O19" s="71"/>
      <c r="P19" s="71"/>
      <c r="Q19" s="75"/>
      <c r="R19" s="74"/>
      <c r="S19" s="76"/>
      <c r="T19" s="69"/>
      <c r="U19" s="70"/>
      <c r="V19" s="73"/>
      <c r="W19" s="11"/>
      <c r="X19" s="11"/>
      <c r="Y19" s="11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s="13" customFormat="1" ht="27" customHeight="1">
      <c r="A20" s="65">
        <v>4</v>
      </c>
      <c r="B20" s="66" t="s">
        <v>26</v>
      </c>
      <c r="C20" s="67">
        <v>0.77700000000000002</v>
      </c>
      <c r="D20" s="68"/>
      <c r="E20" s="69">
        <v>6356.2148500000003</v>
      </c>
      <c r="F20" s="69">
        <f t="shared" si="1"/>
        <v>5974.8419590000003</v>
      </c>
      <c r="G20" s="70">
        <f t="shared" si="2"/>
        <v>381.37289099999998</v>
      </c>
      <c r="H20" s="69"/>
      <c r="I20" s="71"/>
      <c r="J20" s="71"/>
      <c r="K20" s="71"/>
      <c r="L20" s="71"/>
      <c r="M20" s="71"/>
      <c r="N20" s="71"/>
      <c r="O20" s="71"/>
      <c r="P20" s="71"/>
      <c r="Q20" s="75"/>
      <c r="R20" s="74"/>
      <c r="S20" s="76"/>
      <c r="T20" s="69"/>
      <c r="U20" s="70"/>
      <c r="V20" s="73"/>
      <c r="W20" s="11"/>
      <c r="X20" s="11"/>
      <c r="Y20" s="11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s="13" customFormat="1" ht="27" customHeight="1">
      <c r="A21" s="65">
        <v>5</v>
      </c>
      <c r="B21" s="66" t="s">
        <v>27</v>
      </c>
      <c r="C21" s="67">
        <v>0.62</v>
      </c>
      <c r="D21" s="68"/>
      <c r="E21" s="69">
        <v>9289.8690000000006</v>
      </c>
      <c r="F21" s="69">
        <f t="shared" si="1"/>
        <v>8732.4768600000007</v>
      </c>
      <c r="G21" s="70">
        <f t="shared" si="2"/>
        <v>557.39213999999993</v>
      </c>
      <c r="H21" s="69"/>
      <c r="I21" s="71"/>
      <c r="J21" s="71"/>
      <c r="K21" s="71"/>
      <c r="L21" s="71"/>
      <c r="M21" s="71"/>
      <c r="N21" s="71"/>
      <c r="O21" s="71"/>
      <c r="P21" s="71"/>
      <c r="Q21" s="75"/>
      <c r="R21" s="74"/>
      <c r="S21" s="76"/>
      <c r="T21" s="69"/>
      <c r="U21" s="70"/>
      <c r="V21" s="73"/>
      <c r="W21" s="11"/>
      <c r="X21" s="11"/>
      <c r="Y21" s="11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s="13" customFormat="1" ht="27" customHeight="1">
      <c r="A22" s="65">
        <v>6</v>
      </c>
      <c r="B22" s="66" t="s">
        <v>28</v>
      </c>
      <c r="C22" s="67">
        <v>0.86699999999999999</v>
      </c>
      <c r="D22" s="68"/>
      <c r="E22" s="69">
        <v>9339.10707</v>
      </c>
      <c r="F22" s="69">
        <f t="shared" si="1"/>
        <v>8778.7606457999991</v>
      </c>
      <c r="G22" s="70">
        <f t="shared" si="2"/>
        <v>560.34642420000091</v>
      </c>
      <c r="H22" s="69"/>
      <c r="I22" s="71"/>
      <c r="J22" s="71"/>
      <c r="K22" s="71"/>
      <c r="L22" s="71"/>
      <c r="M22" s="71"/>
      <c r="N22" s="71"/>
      <c r="O22" s="71"/>
      <c r="P22" s="71"/>
      <c r="Q22" s="75"/>
      <c r="R22" s="74"/>
      <c r="S22" s="76"/>
      <c r="T22" s="69"/>
      <c r="U22" s="70"/>
      <c r="V22" s="73"/>
      <c r="W22" s="11"/>
      <c r="X22" s="11"/>
      <c r="Y22" s="11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s="13" customFormat="1" ht="27" customHeight="1">
      <c r="A23" s="65">
        <v>7</v>
      </c>
      <c r="B23" s="66" t="s">
        <v>29</v>
      </c>
      <c r="C23" s="67">
        <v>0.68100000000000005</v>
      </c>
      <c r="D23" s="68"/>
      <c r="E23" s="69">
        <v>10725.01888</v>
      </c>
      <c r="F23" s="69">
        <f t="shared" si="1"/>
        <v>10081.5177472</v>
      </c>
      <c r="G23" s="70">
        <f t="shared" si="2"/>
        <v>643.50113280000005</v>
      </c>
      <c r="H23" s="69"/>
      <c r="I23" s="71"/>
      <c r="J23" s="71"/>
      <c r="K23" s="71"/>
      <c r="L23" s="71"/>
      <c r="M23" s="71"/>
      <c r="N23" s="71"/>
      <c r="O23" s="71"/>
      <c r="P23" s="71"/>
      <c r="Q23" s="75"/>
      <c r="R23" s="74"/>
      <c r="S23" s="76"/>
      <c r="T23" s="69"/>
      <c r="U23" s="70"/>
      <c r="V23" s="73"/>
      <c r="W23" s="11"/>
      <c r="X23" s="11"/>
      <c r="Y23" s="11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s="13" customFormat="1" ht="27" customHeight="1">
      <c r="A24" s="65">
        <v>8</v>
      </c>
      <c r="B24" s="66" t="s">
        <v>30</v>
      </c>
      <c r="C24" s="67">
        <v>0.57999999999999996</v>
      </c>
      <c r="D24" s="68"/>
      <c r="E24" s="69">
        <v>30012.859909999999</v>
      </c>
      <c r="F24" s="69">
        <f t="shared" si="1"/>
        <v>28212.088315399997</v>
      </c>
      <c r="G24" s="70">
        <f t="shared" si="2"/>
        <v>1800.7715946000026</v>
      </c>
      <c r="H24" s="69"/>
      <c r="I24" s="71"/>
      <c r="J24" s="71"/>
      <c r="K24" s="71"/>
      <c r="L24" s="71"/>
      <c r="M24" s="71"/>
      <c r="N24" s="71"/>
      <c r="O24" s="71"/>
      <c r="P24" s="71"/>
      <c r="Q24" s="75"/>
      <c r="R24" s="74"/>
      <c r="S24" s="76"/>
      <c r="T24" s="69"/>
      <c r="U24" s="70"/>
      <c r="V24" s="73"/>
      <c r="W24" s="11"/>
      <c r="X24" s="11"/>
      <c r="Y24" s="11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s="13" customFormat="1" ht="27" customHeight="1">
      <c r="A25" s="65">
        <v>9</v>
      </c>
      <c r="B25" s="66" t="s">
        <v>31</v>
      </c>
      <c r="C25" s="67">
        <v>0.63700000000000001</v>
      </c>
      <c r="D25" s="68"/>
      <c r="E25" s="69">
        <v>41026.149799999999</v>
      </c>
      <c r="F25" s="69">
        <f t="shared" si="1"/>
        <v>38564.580812</v>
      </c>
      <c r="G25" s="70">
        <f t="shared" si="2"/>
        <v>2461.5689879999991</v>
      </c>
      <c r="H25" s="69"/>
      <c r="I25" s="71"/>
      <c r="J25" s="71"/>
      <c r="K25" s="71"/>
      <c r="L25" s="71"/>
      <c r="M25" s="71"/>
      <c r="N25" s="71"/>
      <c r="O25" s="71"/>
      <c r="P25" s="71"/>
      <c r="Q25" s="75"/>
      <c r="R25" s="74"/>
      <c r="S25" s="76"/>
      <c r="T25" s="69"/>
      <c r="U25" s="70"/>
      <c r="V25" s="73"/>
      <c r="W25" s="11"/>
      <c r="X25" s="11"/>
      <c r="Y25" s="11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s="13" customFormat="1" ht="27" customHeight="1">
      <c r="A26" s="65">
        <v>10</v>
      </c>
      <c r="B26" s="66" t="s">
        <v>32</v>
      </c>
      <c r="C26" s="67">
        <v>0.77500000000000002</v>
      </c>
      <c r="D26" s="68"/>
      <c r="E26" s="69">
        <v>24048.283049999998</v>
      </c>
      <c r="F26" s="69">
        <f t="shared" si="1"/>
        <v>22605.386066999996</v>
      </c>
      <c r="G26" s="70">
        <f t="shared" si="2"/>
        <v>1442.8969830000024</v>
      </c>
      <c r="H26" s="69"/>
      <c r="I26" s="71"/>
      <c r="J26" s="71"/>
      <c r="K26" s="71"/>
      <c r="L26" s="71"/>
      <c r="M26" s="71"/>
      <c r="N26" s="71"/>
      <c r="O26" s="71"/>
      <c r="P26" s="71"/>
      <c r="Q26" s="75"/>
      <c r="R26" s="74"/>
      <c r="S26" s="76"/>
      <c r="T26" s="69"/>
      <c r="U26" s="70"/>
      <c r="V26" s="73"/>
      <c r="W26" s="11"/>
      <c r="X26" s="11"/>
      <c r="Y26" s="11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s="13" customFormat="1" ht="27" customHeight="1">
      <c r="A27" s="65">
        <v>11</v>
      </c>
      <c r="B27" s="66" t="s">
        <v>33</v>
      </c>
      <c r="C27" s="67">
        <v>0.5</v>
      </c>
      <c r="D27" s="68"/>
      <c r="E27" s="69">
        <v>7980.3313500000004</v>
      </c>
      <c r="F27" s="69">
        <f t="shared" si="1"/>
        <v>7501.511469</v>
      </c>
      <c r="G27" s="70">
        <f t="shared" si="2"/>
        <v>478.81988100000035</v>
      </c>
      <c r="H27" s="69"/>
      <c r="I27" s="71"/>
      <c r="J27" s="71"/>
      <c r="K27" s="71"/>
      <c r="L27" s="71"/>
      <c r="M27" s="71"/>
      <c r="N27" s="71"/>
      <c r="O27" s="71"/>
      <c r="P27" s="71"/>
      <c r="Q27" s="75"/>
      <c r="R27" s="74"/>
      <c r="S27" s="76"/>
      <c r="T27" s="69"/>
      <c r="U27" s="70"/>
      <c r="V27" s="73"/>
      <c r="W27" s="11"/>
      <c r="X27" s="11"/>
      <c r="Y27" s="11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s="13" customFormat="1" ht="25.5" customHeight="1">
      <c r="A28" s="65"/>
      <c r="B28" s="58" t="s">
        <v>34</v>
      </c>
      <c r="C28" s="59">
        <f>C29+C39</f>
        <v>17.148</v>
      </c>
      <c r="D28" s="59"/>
      <c r="E28" s="59">
        <f>E29+E39</f>
        <v>197954.8</v>
      </c>
      <c r="F28" s="59">
        <f>F29+F39</f>
        <v>186077.49600000001</v>
      </c>
      <c r="G28" s="59">
        <f>G29+G39</f>
        <v>11877.304000000002</v>
      </c>
      <c r="H28" s="77">
        <f>H29+H39</f>
        <v>38.228999999999999</v>
      </c>
      <c r="I28" s="59"/>
      <c r="J28" s="59">
        <f>J29+J39</f>
        <v>449899.70902000001</v>
      </c>
      <c r="K28" s="59">
        <f>K29+K39</f>
        <v>422905.7999788</v>
      </c>
      <c r="L28" s="59">
        <f>L29+L39</f>
        <v>26993.90904120003</v>
      </c>
      <c r="M28" s="59"/>
      <c r="N28" s="59"/>
      <c r="O28" s="59"/>
      <c r="P28" s="59"/>
      <c r="Q28" s="61"/>
      <c r="R28" s="62" t="e">
        <f>#REF!+#REF!</f>
        <v>#REF!</v>
      </c>
      <c r="S28" s="62"/>
      <c r="T28" s="56" t="e">
        <f>#REF!+#REF!</f>
        <v>#REF!</v>
      </c>
      <c r="U28" s="57" t="e">
        <f>#REF!+#REF!</f>
        <v>#REF!</v>
      </c>
      <c r="V28" s="61" t="e">
        <f>#REF!</f>
        <v>#REF!</v>
      </c>
      <c r="W28" s="78">
        <f>K28/J28*100</f>
        <v>94.00001633697434</v>
      </c>
      <c r="X28" s="11"/>
      <c r="Y28" s="11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s="13" customFormat="1" ht="39.75" customHeight="1">
      <c r="A29" s="65"/>
      <c r="B29" s="66" t="s">
        <v>213</v>
      </c>
      <c r="C29" s="67">
        <f>SUM(C30:C32)</f>
        <v>0.40499999999999997</v>
      </c>
      <c r="D29" s="69"/>
      <c r="E29" s="69">
        <f>SUM(E30:E32)</f>
        <v>23307.97567</v>
      </c>
      <c r="F29" s="69">
        <f>SUM(F30:F32)</f>
        <v>21909.497129800002</v>
      </c>
      <c r="G29" s="69">
        <f>SUM(G30:G32)</f>
        <v>1398.4785402000011</v>
      </c>
      <c r="H29" s="67">
        <f>SUM(H32:H38)</f>
        <v>16.206000000000003</v>
      </c>
      <c r="I29" s="59"/>
      <c r="J29" s="69">
        <f>SUM(J32:J38)</f>
        <v>252439.14993000001</v>
      </c>
      <c r="K29" s="69">
        <f>SUM(K32:K38)</f>
        <v>237292.77443419999</v>
      </c>
      <c r="L29" s="69">
        <f>SUM(L32:L38)</f>
        <v>15146.375495800019</v>
      </c>
      <c r="M29" s="59"/>
      <c r="N29" s="59"/>
      <c r="O29" s="59"/>
      <c r="P29" s="59"/>
      <c r="Q29" s="61"/>
      <c r="R29" s="62"/>
      <c r="S29" s="62"/>
      <c r="T29" s="56"/>
      <c r="U29" s="57"/>
      <c r="V29" s="61"/>
      <c r="W29" s="63"/>
      <c r="X29" s="11"/>
      <c r="Y29" s="11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s="13" customFormat="1" ht="27" customHeight="1">
      <c r="A30" s="65">
        <v>12</v>
      </c>
      <c r="B30" s="66" t="s">
        <v>35</v>
      </c>
      <c r="C30" s="67">
        <v>0.28999999999999998</v>
      </c>
      <c r="D30" s="59"/>
      <c r="E30" s="69">
        <v>3492.8072000000002</v>
      </c>
      <c r="F30" s="69">
        <f>E30*0.94</f>
        <v>3283.2387680000002</v>
      </c>
      <c r="G30" s="70">
        <f>E30-F30</f>
        <v>209.56843200000003</v>
      </c>
      <c r="H30" s="59"/>
      <c r="I30" s="59"/>
      <c r="J30" s="59"/>
      <c r="K30" s="59"/>
      <c r="L30" s="59"/>
      <c r="M30" s="59"/>
      <c r="N30" s="59"/>
      <c r="O30" s="59"/>
      <c r="P30" s="59"/>
      <c r="Q30" s="61"/>
      <c r="R30" s="62"/>
      <c r="S30" s="62"/>
      <c r="T30" s="56"/>
      <c r="U30" s="57"/>
      <c r="V30" s="61"/>
      <c r="W30" s="63"/>
      <c r="X30" s="11"/>
      <c r="Y30" s="11"/>
      <c r="Z30" s="4"/>
      <c r="AA30" s="4" t="s">
        <v>36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s="13" customFormat="1" ht="42" customHeight="1">
      <c r="A31" s="65">
        <v>13</v>
      </c>
      <c r="B31" s="66" t="s">
        <v>214</v>
      </c>
      <c r="C31" s="67">
        <v>0.115</v>
      </c>
      <c r="D31" s="79"/>
      <c r="E31" s="69">
        <v>2417.9584</v>
      </c>
      <c r="F31" s="69">
        <f>E31*0.94</f>
        <v>2272.8808959999997</v>
      </c>
      <c r="G31" s="70">
        <f>E31-F31</f>
        <v>145.07750400000032</v>
      </c>
      <c r="H31" s="59"/>
      <c r="I31" s="59"/>
      <c r="J31" s="59"/>
      <c r="K31" s="59"/>
      <c r="L31" s="59"/>
      <c r="M31" s="59"/>
      <c r="N31" s="59"/>
      <c r="O31" s="59"/>
      <c r="P31" s="59"/>
      <c r="Q31" s="61"/>
      <c r="R31" s="62"/>
      <c r="S31" s="62"/>
      <c r="T31" s="56"/>
      <c r="U31" s="57"/>
      <c r="V31" s="61"/>
      <c r="W31" s="63"/>
      <c r="X31" s="11"/>
      <c r="Y31" s="11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s="13" customFormat="1" ht="27" customHeight="1">
      <c r="A32" s="65">
        <v>14</v>
      </c>
      <c r="B32" s="66" t="s">
        <v>37</v>
      </c>
      <c r="C32" s="67"/>
      <c r="D32" s="79"/>
      <c r="E32" s="69">
        <v>17397.210070000001</v>
      </c>
      <c r="F32" s="69">
        <f>E32*0.94</f>
        <v>16353.3774658</v>
      </c>
      <c r="G32" s="70">
        <f>E32-F32</f>
        <v>1043.8326042000008</v>
      </c>
      <c r="H32" s="67">
        <v>1.6890000000000001</v>
      </c>
      <c r="I32" s="59"/>
      <c r="J32" s="69">
        <v>11596.219929999999</v>
      </c>
      <c r="K32" s="179">
        <f t="shared" ref="K32:K37" si="3">J32*0.94</f>
        <v>10900.446734199999</v>
      </c>
      <c r="L32" s="69">
        <f t="shared" ref="L32:L38" si="4">J32-K32</f>
        <v>695.77319580000039</v>
      </c>
      <c r="M32" s="59"/>
      <c r="N32" s="59"/>
      <c r="O32" s="59"/>
      <c r="P32" s="59"/>
      <c r="Q32" s="61"/>
      <c r="R32" s="62"/>
      <c r="S32" s="62"/>
      <c r="T32" s="56"/>
      <c r="U32" s="57"/>
      <c r="V32" s="61"/>
      <c r="W32" s="63"/>
      <c r="X32" s="11"/>
      <c r="Y32" s="11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44" s="13" customFormat="1" ht="27" customHeight="1">
      <c r="A33" s="65">
        <v>15</v>
      </c>
      <c r="B33" s="66" t="s">
        <v>38</v>
      </c>
      <c r="C33" s="67"/>
      <c r="D33" s="79"/>
      <c r="E33" s="69"/>
      <c r="F33" s="69"/>
      <c r="G33" s="70"/>
      <c r="H33" s="67">
        <v>4.2460000000000004</v>
      </c>
      <c r="I33" s="59"/>
      <c r="J33" s="178">
        <v>66892.320000000007</v>
      </c>
      <c r="K33" s="179">
        <f t="shared" si="3"/>
        <v>62878.7808</v>
      </c>
      <c r="L33" s="69">
        <f t="shared" si="4"/>
        <v>4013.5392000000065</v>
      </c>
      <c r="M33" s="59"/>
      <c r="N33" s="59"/>
      <c r="O33" s="59"/>
      <c r="P33" s="59"/>
      <c r="Q33" s="61"/>
      <c r="R33" s="62"/>
      <c r="S33" s="62"/>
      <c r="T33" s="56"/>
      <c r="U33" s="57"/>
      <c r="V33" s="61"/>
      <c r="W33" s="63"/>
      <c r="X33" s="11"/>
      <c r="Y33" s="11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s="13" customFormat="1" ht="27" customHeight="1">
      <c r="A34" s="65">
        <v>16</v>
      </c>
      <c r="B34" s="66" t="s">
        <v>39</v>
      </c>
      <c r="C34" s="67"/>
      <c r="D34" s="79"/>
      <c r="E34" s="69"/>
      <c r="F34" s="69"/>
      <c r="G34" s="70"/>
      <c r="H34" s="67">
        <v>2.9929999999999999</v>
      </c>
      <c r="I34" s="59"/>
      <c r="J34" s="69">
        <v>21251.69</v>
      </c>
      <c r="K34" s="179">
        <f t="shared" si="3"/>
        <v>19976.588599999999</v>
      </c>
      <c r="L34" s="69">
        <f t="shared" si="4"/>
        <v>1275.1013999999996</v>
      </c>
      <c r="M34" s="59"/>
      <c r="N34" s="59"/>
      <c r="O34" s="59"/>
      <c r="P34" s="59"/>
      <c r="Q34" s="61"/>
      <c r="R34" s="62"/>
      <c r="S34" s="62"/>
      <c r="T34" s="56"/>
      <c r="U34" s="57"/>
      <c r="V34" s="61"/>
      <c r="W34" s="63"/>
      <c r="X34" s="11"/>
      <c r="Y34" s="11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s="13" customFormat="1" ht="27" customHeight="1">
      <c r="A35" s="65">
        <v>17</v>
      </c>
      <c r="B35" s="66" t="s">
        <v>40</v>
      </c>
      <c r="C35" s="67"/>
      <c r="D35" s="79"/>
      <c r="E35" s="69"/>
      <c r="F35" s="69"/>
      <c r="G35" s="70"/>
      <c r="H35" s="67">
        <v>1.425</v>
      </c>
      <c r="I35" s="59"/>
      <c r="J35" s="69">
        <v>14911.93</v>
      </c>
      <c r="K35" s="179">
        <f t="shared" si="3"/>
        <v>14017.2142</v>
      </c>
      <c r="L35" s="69">
        <f t="shared" si="4"/>
        <v>894.71579999999994</v>
      </c>
      <c r="M35" s="59"/>
      <c r="N35" s="59"/>
      <c r="O35" s="59"/>
      <c r="P35" s="59"/>
      <c r="Q35" s="61"/>
      <c r="R35" s="62"/>
      <c r="S35" s="62"/>
      <c r="T35" s="56"/>
      <c r="U35" s="57"/>
      <c r="V35" s="61"/>
      <c r="W35" s="63"/>
      <c r="X35" s="11"/>
      <c r="Y35" s="11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s="13" customFormat="1" ht="27" customHeight="1">
      <c r="A36" s="65">
        <v>18</v>
      </c>
      <c r="B36" s="66" t="s">
        <v>41</v>
      </c>
      <c r="C36" s="67"/>
      <c r="D36" s="79"/>
      <c r="E36" s="69"/>
      <c r="F36" s="69"/>
      <c r="G36" s="70"/>
      <c r="H36" s="67">
        <v>1.06</v>
      </c>
      <c r="I36" s="59"/>
      <c r="J36" s="69">
        <v>22860.11</v>
      </c>
      <c r="K36" s="179">
        <f>J36*0.94-0.0265</f>
        <v>21488.476899999998</v>
      </c>
      <c r="L36" s="69">
        <f t="shared" si="4"/>
        <v>1371.6331000000027</v>
      </c>
      <c r="M36" s="59"/>
      <c r="N36" s="59"/>
      <c r="O36" s="59"/>
      <c r="P36" s="59"/>
      <c r="Q36" s="61"/>
      <c r="R36" s="62"/>
      <c r="S36" s="62"/>
      <c r="T36" s="56"/>
      <c r="U36" s="57"/>
      <c r="V36" s="61"/>
      <c r="W36" s="63"/>
      <c r="X36" s="11"/>
      <c r="Y36" s="11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s="13" customFormat="1" ht="27" customHeight="1">
      <c r="A37" s="65">
        <v>19</v>
      </c>
      <c r="B37" s="66" t="s">
        <v>42</v>
      </c>
      <c r="C37" s="67"/>
      <c r="D37" s="79"/>
      <c r="E37" s="69"/>
      <c r="F37" s="69"/>
      <c r="G37" s="70"/>
      <c r="H37" s="67">
        <v>0.79300000000000004</v>
      </c>
      <c r="I37" s="59"/>
      <c r="J37" s="69">
        <v>18359.7</v>
      </c>
      <c r="K37" s="179">
        <f t="shared" si="3"/>
        <v>17258.117999999999</v>
      </c>
      <c r="L37" s="69">
        <f t="shared" si="4"/>
        <v>1101.5820000000022</v>
      </c>
      <c r="M37" s="59"/>
      <c r="N37" s="59"/>
      <c r="O37" s="59"/>
      <c r="P37" s="59"/>
      <c r="Q37" s="61"/>
      <c r="R37" s="62"/>
      <c r="S37" s="62"/>
      <c r="T37" s="56"/>
      <c r="U37" s="57"/>
      <c r="V37" s="61"/>
      <c r="W37" s="63"/>
      <c r="X37" s="11" t="s">
        <v>36</v>
      </c>
      <c r="Y37" s="11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s="13" customFormat="1" ht="27" customHeight="1">
      <c r="A38" s="65">
        <v>20</v>
      </c>
      <c r="B38" s="66" t="s">
        <v>43</v>
      </c>
      <c r="C38" s="67"/>
      <c r="D38" s="79"/>
      <c r="E38" s="69"/>
      <c r="F38" s="69"/>
      <c r="G38" s="70"/>
      <c r="H38" s="67">
        <v>4</v>
      </c>
      <c r="I38" s="59"/>
      <c r="J38" s="69">
        <v>96567.18</v>
      </c>
      <c r="K38" s="179">
        <f>J38*0.94</f>
        <v>90773.149199999985</v>
      </c>
      <c r="L38" s="69">
        <f t="shared" si="4"/>
        <v>5794.0308000000077</v>
      </c>
      <c r="M38" s="59"/>
      <c r="N38" s="59"/>
      <c r="O38" s="59"/>
      <c r="P38" s="59"/>
      <c r="Q38" s="61"/>
      <c r="R38" s="62"/>
      <c r="S38" s="62"/>
      <c r="T38" s="56"/>
      <c r="U38" s="57"/>
      <c r="V38" s="61"/>
      <c r="W38" s="63"/>
      <c r="X38" s="11"/>
      <c r="Y38" s="11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s="13" customFormat="1" ht="28.5" customHeight="1">
      <c r="A39" s="65"/>
      <c r="B39" s="66" t="s">
        <v>44</v>
      </c>
      <c r="C39" s="67">
        <f>SUM(C40:C45)</f>
        <v>16.742999999999999</v>
      </c>
      <c r="D39" s="79"/>
      <c r="E39" s="69">
        <f>SUM(E40:E46)</f>
        <v>174646.82432999997</v>
      </c>
      <c r="F39" s="69">
        <f>SUM(F40:F46)</f>
        <v>164167.99887020001</v>
      </c>
      <c r="G39" s="69">
        <f>SUM(G40:G46)</f>
        <v>10478.8254598</v>
      </c>
      <c r="H39" s="67">
        <f>SUM(H46:H49)</f>
        <v>22.023</v>
      </c>
      <c r="I39" s="59"/>
      <c r="J39" s="69">
        <f>SUM(J46:J49)</f>
        <v>197460.55909</v>
      </c>
      <c r="K39" s="69">
        <f>SUM(K46:K49)</f>
        <v>185613.02554460001</v>
      </c>
      <c r="L39" s="69">
        <f>SUM(L46:L49)</f>
        <v>11847.533545400012</v>
      </c>
      <c r="M39" s="59"/>
      <c r="N39" s="59"/>
      <c r="O39" s="59"/>
      <c r="P39" s="59"/>
      <c r="Q39" s="61"/>
      <c r="R39" s="62"/>
      <c r="S39" s="62"/>
      <c r="T39" s="56"/>
      <c r="U39" s="57"/>
      <c r="V39" s="61"/>
      <c r="W39" s="63"/>
      <c r="X39" s="11"/>
      <c r="Y39" s="11"/>
      <c r="Z39" s="4" t="s">
        <v>16</v>
      </c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s="13" customFormat="1" ht="27.75" customHeight="1">
      <c r="A40" s="65">
        <v>21</v>
      </c>
      <c r="B40" s="66" t="s">
        <v>45</v>
      </c>
      <c r="C40" s="67">
        <v>8.9819999999999993</v>
      </c>
      <c r="D40" s="59"/>
      <c r="E40" s="69">
        <v>49808.849269999999</v>
      </c>
      <c r="F40" s="69">
        <f t="shared" ref="F40:F45" si="5">E40*0.94</f>
        <v>46820.318313799995</v>
      </c>
      <c r="G40" s="70">
        <f t="shared" ref="G40:G46" si="6">E40-F40</f>
        <v>2988.5309562000039</v>
      </c>
      <c r="H40" s="59"/>
      <c r="I40" s="59"/>
      <c r="J40" s="59"/>
      <c r="K40" s="59"/>
      <c r="L40" s="59"/>
      <c r="M40" s="59"/>
      <c r="N40" s="59"/>
      <c r="O40" s="59"/>
      <c r="P40" s="59"/>
      <c r="Q40" s="61"/>
      <c r="R40" s="62"/>
      <c r="S40" s="62"/>
      <c r="T40" s="56"/>
      <c r="U40" s="57"/>
      <c r="V40" s="61"/>
      <c r="W40" s="63"/>
      <c r="X40" s="11"/>
      <c r="Y40" s="11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s="13" customFormat="1" ht="23.25" customHeight="1">
      <c r="A41" s="65">
        <v>22</v>
      </c>
      <c r="B41" s="66" t="s">
        <v>46</v>
      </c>
      <c r="C41" s="67">
        <v>1</v>
      </c>
      <c r="D41" s="79"/>
      <c r="E41" s="69">
        <v>8150.9138000000003</v>
      </c>
      <c r="F41" s="69">
        <f t="shared" si="5"/>
        <v>7661.858972</v>
      </c>
      <c r="G41" s="70">
        <f t="shared" si="6"/>
        <v>489.05482800000027</v>
      </c>
      <c r="H41" s="59"/>
      <c r="I41" s="59"/>
      <c r="J41" s="59"/>
      <c r="K41" s="59"/>
      <c r="L41" s="59"/>
      <c r="M41" s="59"/>
      <c r="N41" s="59"/>
      <c r="O41" s="59"/>
      <c r="P41" s="59"/>
      <c r="Q41" s="61"/>
      <c r="R41" s="62"/>
      <c r="S41" s="62"/>
      <c r="T41" s="56"/>
      <c r="U41" s="57"/>
      <c r="V41" s="61"/>
      <c r="W41" s="63"/>
      <c r="X41" s="11"/>
      <c r="Y41" s="11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s="13" customFormat="1" ht="27" customHeight="1">
      <c r="A42" s="65">
        <v>23</v>
      </c>
      <c r="B42" s="66" t="s">
        <v>37</v>
      </c>
      <c r="C42" s="67">
        <v>0.81499999999999995</v>
      </c>
      <c r="D42" s="79"/>
      <c r="E42" s="69">
        <v>5040.38</v>
      </c>
      <c r="F42" s="69">
        <f t="shared" si="5"/>
        <v>4737.9571999999998</v>
      </c>
      <c r="G42" s="70">
        <f t="shared" si="6"/>
        <v>302.42280000000028</v>
      </c>
      <c r="H42" s="59"/>
      <c r="I42" s="59"/>
      <c r="J42" s="59"/>
      <c r="K42" s="59"/>
      <c r="L42" s="59"/>
      <c r="M42" s="59"/>
      <c r="N42" s="59"/>
      <c r="O42" s="59"/>
      <c r="P42" s="59"/>
      <c r="Q42" s="61"/>
      <c r="R42" s="62"/>
      <c r="S42" s="62"/>
      <c r="T42" s="56"/>
      <c r="U42" s="57"/>
      <c r="V42" s="61"/>
      <c r="W42" s="63"/>
      <c r="X42" s="11"/>
      <c r="Y42" s="11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s="13" customFormat="1" ht="27" customHeight="1">
      <c r="A43" s="65">
        <v>24</v>
      </c>
      <c r="B43" s="66" t="s">
        <v>47</v>
      </c>
      <c r="C43" s="67">
        <v>2.6389999999999998</v>
      </c>
      <c r="D43" s="79"/>
      <c r="E43" s="69">
        <v>6373.5912600000001</v>
      </c>
      <c r="F43" s="69">
        <f t="shared" si="5"/>
        <v>5991.1757843999994</v>
      </c>
      <c r="G43" s="70">
        <f t="shared" si="6"/>
        <v>382.41547560000072</v>
      </c>
      <c r="H43" s="59"/>
      <c r="I43" s="59"/>
      <c r="J43" s="59"/>
      <c r="K43" s="59"/>
      <c r="L43" s="59"/>
      <c r="M43" s="59"/>
      <c r="N43" s="59"/>
      <c r="O43" s="59"/>
      <c r="P43" s="59"/>
      <c r="Q43" s="61"/>
      <c r="R43" s="62"/>
      <c r="S43" s="62"/>
      <c r="T43" s="56"/>
      <c r="U43" s="57"/>
      <c r="V43" s="61"/>
      <c r="W43" s="63" t="s">
        <v>36</v>
      </c>
      <c r="X43" s="11"/>
      <c r="Y43" s="11"/>
      <c r="Z43" s="4" t="s">
        <v>16</v>
      </c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s="13" customFormat="1" ht="27" customHeight="1">
      <c r="A44" s="65">
        <v>25</v>
      </c>
      <c r="B44" s="66" t="s">
        <v>48</v>
      </c>
      <c r="C44" s="67">
        <v>2.7749999999999999</v>
      </c>
      <c r="D44" s="79"/>
      <c r="E44" s="69">
        <v>16876.04</v>
      </c>
      <c r="F44" s="69">
        <f t="shared" si="5"/>
        <v>15863.4776</v>
      </c>
      <c r="G44" s="70">
        <f t="shared" si="6"/>
        <v>1012.5624000000007</v>
      </c>
      <c r="H44" s="59"/>
      <c r="I44" s="59"/>
      <c r="J44" s="59"/>
      <c r="K44" s="59"/>
      <c r="L44" s="59"/>
      <c r="M44" s="59"/>
      <c r="N44" s="59"/>
      <c r="O44" s="59"/>
      <c r="P44" s="59"/>
      <c r="Q44" s="61"/>
      <c r="R44" s="62"/>
      <c r="S44" s="62"/>
      <c r="T44" s="56"/>
      <c r="U44" s="57"/>
      <c r="V44" s="61"/>
      <c r="W44" s="63"/>
      <c r="X44" s="11"/>
      <c r="Y44" s="11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pans="1:44" s="13" customFormat="1" ht="27" customHeight="1">
      <c r="A45" s="38">
        <v>26</v>
      </c>
      <c r="B45" s="66" t="s">
        <v>49</v>
      </c>
      <c r="C45" s="67">
        <v>0.53200000000000003</v>
      </c>
      <c r="D45" s="79"/>
      <c r="E45" s="69">
        <v>3290.65</v>
      </c>
      <c r="F45" s="69">
        <f t="shared" si="5"/>
        <v>3093.2109999999998</v>
      </c>
      <c r="G45" s="70">
        <f t="shared" si="6"/>
        <v>197.43900000000031</v>
      </c>
      <c r="H45" s="59"/>
      <c r="I45" s="59"/>
      <c r="J45" s="59"/>
      <c r="K45" s="59"/>
      <c r="L45" s="59"/>
      <c r="M45" s="59"/>
      <c r="N45" s="59"/>
      <c r="O45" s="59"/>
      <c r="P45" s="59"/>
      <c r="Q45" s="61"/>
      <c r="R45" s="62"/>
      <c r="S45" s="62"/>
      <c r="T45" s="56"/>
      <c r="U45" s="57"/>
      <c r="V45" s="61"/>
      <c r="W45" s="63"/>
      <c r="X45" s="11"/>
      <c r="Y45" s="11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s="13" customFormat="1" ht="27" customHeight="1">
      <c r="A46" s="38">
        <v>27</v>
      </c>
      <c r="B46" s="80" t="s">
        <v>50</v>
      </c>
      <c r="C46" s="67"/>
      <c r="D46" s="79"/>
      <c r="E46" s="69">
        <v>85106.4</v>
      </c>
      <c r="F46" s="69">
        <v>80000</v>
      </c>
      <c r="G46" s="70">
        <f t="shared" si="6"/>
        <v>5106.3999999999942</v>
      </c>
      <c r="H46" s="67">
        <v>10.36</v>
      </c>
      <c r="I46" s="59"/>
      <c r="J46" s="69">
        <v>25000</v>
      </c>
      <c r="K46" s="69">
        <f>J46*0.94</f>
        <v>23500</v>
      </c>
      <c r="L46" s="69">
        <f>J46-K46</f>
        <v>1500</v>
      </c>
      <c r="M46" s="59"/>
      <c r="N46" s="59"/>
      <c r="O46" s="59"/>
      <c r="P46" s="59"/>
      <c r="Q46" s="61"/>
      <c r="R46" s="81"/>
      <c r="S46" s="81"/>
      <c r="T46" s="82"/>
      <c r="U46" s="83"/>
      <c r="V46" s="84"/>
      <c r="W46" s="63"/>
      <c r="X46" s="11"/>
      <c r="Y46" s="11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 s="13" customFormat="1" ht="27" customHeight="1">
      <c r="A47" s="38">
        <v>28</v>
      </c>
      <c r="B47" s="66" t="s">
        <v>51</v>
      </c>
      <c r="C47" s="67"/>
      <c r="D47" s="79"/>
      <c r="E47" s="85"/>
      <c r="F47" s="69"/>
      <c r="G47" s="70"/>
      <c r="H47" s="67">
        <v>3.1190000000000002</v>
      </c>
      <c r="I47" s="59"/>
      <c r="J47" s="69">
        <v>46563.419690000002</v>
      </c>
      <c r="K47" s="69">
        <f>J47*0.94</f>
        <v>43769.614508600003</v>
      </c>
      <c r="L47" s="69">
        <f>J47-K47</f>
        <v>2793.8051813999991</v>
      </c>
      <c r="M47" s="59"/>
      <c r="N47" s="59"/>
      <c r="O47" s="59"/>
      <c r="P47" s="59"/>
      <c r="Q47" s="61"/>
      <c r="R47" s="81"/>
      <c r="S47" s="81"/>
      <c r="T47" s="82"/>
      <c r="U47" s="83"/>
      <c r="V47" s="84"/>
      <c r="W47" s="63"/>
      <c r="X47" s="11"/>
      <c r="Y47" s="11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 s="13" customFormat="1" ht="27" customHeight="1">
      <c r="A48" s="38">
        <v>29</v>
      </c>
      <c r="B48" s="66" t="s">
        <v>52</v>
      </c>
      <c r="C48" s="67"/>
      <c r="D48" s="79"/>
      <c r="E48" s="85"/>
      <c r="F48" s="69"/>
      <c r="G48" s="70"/>
      <c r="H48" s="67">
        <v>7.4240000000000004</v>
      </c>
      <c r="I48" s="59"/>
      <c r="J48" s="69">
        <v>103102.0194</v>
      </c>
      <c r="K48" s="69">
        <f>J48*0.94</f>
        <v>96915.898235999994</v>
      </c>
      <c r="L48" s="69">
        <f>J48-K48</f>
        <v>6186.121164000011</v>
      </c>
      <c r="M48" s="59"/>
      <c r="N48" s="59"/>
      <c r="O48" s="59"/>
      <c r="P48" s="59"/>
      <c r="Q48" s="61"/>
      <c r="R48" s="81"/>
      <c r="S48" s="81"/>
      <c r="T48" s="82"/>
      <c r="U48" s="83"/>
      <c r="V48" s="84"/>
      <c r="W48" s="63"/>
      <c r="X48" s="11"/>
      <c r="Y48" s="11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44" s="13" customFormat="1" ht="36.75" customHeight="1">
      <c r="A49" s="38">
        <v>30</v>
      </c>
      <c r="B49" s="66" t="s">
        <v>53</v>
      </c>
      <c r="C49" s="67"/>
      <c r="D49" s="79"/>
      <c r="E49" s="85"/>
      <c r="F49" s="69"/>
      <c r="G49" s="70"/>
      <c r="H49" s="67">
        <v>1.1200000000000001</v>
      </c>
      <c r="I49" s="59"/>
      <c r="J49" s="69">
        <v>22795.119999999999</v>
      </c>
      <c r="K49" s="69">
        <f>J49*0.94+0.1</f>
        <v>21427.512799999997</v>
      </c>
      <c r="L49" s="69">
        <f>J49-K49</f>
        <v>1367.6072000000022</v>
      </c>
      <c r="M49" s="59"/>
      <c r="N49" s="59"/>
      <c r="O49" s="59"/>
      <c r="P49" s="59"/>
      <c r="Q49" s="61"/>
      <c r="R49" s="81"/>
      <c r="S49" s="81"/>
      <c r="T49" s="82"/>
      <c r="U49" s="83"/>
      <c r="V49" s="84"/>
      <c r="W49" s="63"/>
      <c r="X49" s="11"/>
      <c r="Y49" s="11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pans="1:44" s="13" customFormat="1" ht="27" customHeight="1">
      <c r="A50" s="38"/>
      <c r="B50" s="86" t="s">
        <v>54</v>
      </c>
      <c r="C50" s="59">
        <f>SUM(C52)+C53</f>
        <v>1.3919999999999999</v>
      </c>
      <c r="D50" s="87"/>
      <c r="E50" s="88">
        <f>E52+E53</f>
        <v>28663.3</v>
      </c>
      <c r="F50" s="88">
        <f>F52+F53</f>
        <v>26943.5</v>
      </c>
      <c r="G50" s="88">
        <f>G52+G53</f>
        <v>1719.8</v>
      </c>
      <c r="H50" s="88">
        <f>H55</f>
        <v>0</v>
      </c>
      <c r="I50" s="88">
        <f>I54</f>
        <v>18</v>
      </c>
      <c r="J50" s="88">
        <f>J54+J55</f>
        <v>11327</v>
      </c>
      <c r="K50" s="88">
        <f>K54+K55</f>
        <v>10647.4</v>
      </c>
      <c r="L50" s="89">
        <f>L54+L55</f>
        <v>679.60000000000036</v>
      </c>
      <c r="M50" s="89">
        <f>M55</f>
        <v>0.85199999999999998</v>
      </c>
      <c r="N50" s="89"/>
      <c r="O50" s="89">
        <f>O55</f>
        <v>66583.5</v>
      </c>
      <c r="P50" s="89">
        <f>P55</f>
        <v>62588.5</v>
      </c>
      <c r="Q50" s="90">
        <f>Q55</f>
        <v>3995</v>
      </c>
      <c r="R50" s="91" t="e">
        <f>#REF!+#REF!</f>
        <v>#REF!</v>
      </c>
      <c r="S50" s="91"/>
      <c r="T50" s="92" t="e">
        <f>#REF!+#REF!</f>
        <v>#REF!</v>
      </c>
      <c r="U50" s="93" t="e">
        <f>#REF!+#REF!</f>
        <v>#REF!</v>
      </c>
      <c r="V50" s="94" t="e">
        <f>#REF!+#REF!</f>
        <v>#REF!</v>
      </c>
      <c r="W50" s="11"/>
      <c r="X50" s="11"/>
      <c r="Y50" s="11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pans="1:44" s="13" customFormat="1" ht="24.95" customHeight="1">
      <c r="A51" s="38"/>
      <c r="B51" s="66" t="s">
        <v>55</v>
      </c>
      <c r="C51" s="59"/>
      <c r="D51" s="87"/>
      <c r="E51" s="88"/>
      <c r="F51" s="88"/>
      <c r="G51" s="95"/>
      <c r="H51" s="88"/>
      <c r="I51" s="88"/>
      <c r="J51" s="88"/>
      <c r="K51" s="88"/>
      <c r="L51" s="89"/>
      <c r="M51" s="89"/>
      <c r="N51" s="89"/>
      <c r="O51" s="89"/>
      <c r="P51" s="89"/>
      <c r="Q51" s="90"/>
      <c r="R51" s="91"/>
      <c r="S51" s="91"/>
      <c r="T51" s="92"/>
      <c r="U51" s="93"/>
      <c r="V51" s="94"/>
      <c r="W51" s="11"/>
      <c r="X51" s="11"/>
      <c r="Y51" s="11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pans="1:44" s="13" customFormat="1" ht="27" customHeight="1">
      <c r="A52" s="65">
        <v>31</v>
      </c>
      <c r="B52" s="66" t="s">
        <v>56</v>
      </c>
      <c r="C52" s="67">
        <v>0.73</v>
      </c>
      <c r="D52" s="96"/>
      <c r="E52" s="69">
        <v>7163.3</v>
      </c>
      <c r="F52" s="69">
        <v>6733.5</v>
      </c>
      <c r="G52" s="70">
        <v>429.8</v>
      </c>
      <c r="H52" s="97"/>
      <c r="I52" s="97"/>
      <c r="J52" s="97"/>
      <c r="K52" s="97"/>
      <c r="L52" s="97"/>
      <c r="M52" s="97"/>
      <c r="N52" s="97"/>
      <c r="O52" s="97"/>
      <c r="P52" s="97"/>
      <c r="Q52" s="98"/>
      <c r="R52" s="79"/>
      <c r="S52" s="79"/>
      <c r="T52" s="97"/>
      <c r="U52" s="99"/>
      <c r="V52" s="52"/>
      <c r="W52" s="11"/>
      <c r="X52" s="11"/>
      <c r="Y52" s="11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pans="1:44" s="13" customFormat="1" ht="27" customHeight="1">
      <c r="A53" s="38">
        <v>32</v>
      </c>
      <c r="B53" s="66" t="s">
        <v>57</v>
      </c>
      <c r="C53" s="67">
        <v>0.66200000000000003</v>
      </c>
      <c r="D53" s="96"/>
      <c r="E53" s="69">
        <v>21500</v>
      </c>
      <c r="F53" s="69">
        <v>20210</v>
      </c>
      <c r="G53" s="70">
        <v>1290</v>
      </c>
      <c r="H53" s="97"/>
      <c r="I53" s="97"/>
      <c r="J53" s="97"/>
      <c r="K53" s="97"/>
      <c r="L53" s="97"/>
      <c r="M53" s="97"/>
      <c r="N53" s="97"/>
      <c r="O53" s="97"/>
      <c r="P53" s="97"/>
      <c r="Q53" s="98"/>
      <c r="R53" s="79"/>
      <c r="S53" s="79"/>
      <c r="T53" s="97"/>
      <c r="U53" s="99"/>
      <c r="V53" s="52"/>
      <c r="W53" s="11"/>
      <c r="X53" s="11"/>
      <c r="Y53" s="11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1:44" s="13" customFormat="1" ht="42" customHeight="1">
      <c r="A54" s="38">
        <v>33</v>
      </c>
      <c r="B54" s="66" t="s">
        <v>58</v>
      </c>
      <c r="C54" s="67"/>
      <c r="D54" s="96"/>
      <c r="E54" s="69"/>
      <c r="F54" s="69"/>
      <c r="G54" s="70"/>
      <c r="H54" s="97"/>
      <c r="I54" s="69">
        <f>6+12</f>
        <v>18</v>
      </c>
      <c r="J54" s="69">
        <v>11327</v>
      </c>
      <c r="K54" s="69">
        <v>10647.4</v>
      </c>
      <c r="L54" s="69">
        <f>J54-K54</f>
        <v>679.60000000000036</v>
      </c>
      <c r="M54" s="97"/>
      <c r="N54" s="97"/>
      <c r="O54" s="97"/>
      <c r="P54" s="97"/>
      <c r="Q54" s="98"/>
      <c r="R54" s="79"/>
      <c r="S54" s="79"/>
      <c r="T54" s="97"/>
      <c r="U54" s="99"/>
      <c r="V54" s="52"/>
      <c r="W54" s="11"/>
      <c r="X54" s="11"/>
      <c r="Y54" s="11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pans="1:44" s="13" customFormat="1" ht="27" customHeight="1">
      <c r="A55" s="38">
        <v>34</v>
      </c>
      <c r="B55" s="80" t="s">
        <v>59</v>
      </c>
      <c r="C55" s="67"/>
      <c r="D55" s="96"/>
      <c r="E55" s="69"/>
      <c r="F55" s="69"/>
      <c r="G55" s="70"/>
      <c r="H55" s="67"/>
      <c r="I55" s="69"/>
      <c r="J55" s="69"/>
      <c r="K55" s="69"/>
      <c r="L55" s="69"/>
      <c r="M55" s="67">
        <v>0.85199999999999998</v>
      </c>
      <c r="N55" s="59"/>
      <c r="O55" s="69">
        <v>66583.5</v>
      </c>
      <c r="P55" s="69">
        <f>O55*0.94+0.01</f>
        <v>62588.5</v>
      </c>
      <c r="Q55" s="73">
        <f>O55-P55</f>
        <v>3995</v>
      </c>
      <c r="R55" s="79"/>
      <c r="S55" s="79"/>
      <c r="T55" s="97"/>
      <c r="U55" s="99"/>
      <c r="V55" s="52"/>
      <c r="W55" s="11"/>
      <c r="X55" s="11"/>
      <c r="Y55" s="11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pans="1:44" s="13" customFormat="1" ht="32.25" customHeight="1">
      <c r="A56" s="38"/>
      <c r="B56" s="86" t="s">
        <v>60</v>
      </c>
      <c r="C56" s="59">
        <f>SUM(C58:C60)</f>
        <v>2.3010000000000002</v>
      </c>
      <c r="D56" s="56"/>
      <c r="E56" s="59">
        <f>SUM(E58:E60)</f>
        <v>54627.979999999996</v>
      </c>
      <c r="F56" s="59">
        <f>SUM(F58:F60)</f>
        <v>51350.3</v>
      </c>
      <c r="G56" s="59">
        <f>SUM(G58:G60)</f>
        <v>3277.6800000000003</v>
      </c>
      <c r="H56" s="59">
        <f>H61+H63+H64+H65</f>
        <v>8.5330000000000013</v>
      </c>
      <c r="I56" s="59"/>
      <c r="J56" s="59">
        <f>J61+J63+J64+J65</f>
        <v>222689.36169999998</v>
      </c>
      <c r="K56" s="59">
        <f t="shared" ref="K56:L56" si="7">K61+K63+K64+K65</f>
        <v>209327.99999999997</v>
      </c>
      <c r="L56" s="59">
        <f t="shared" si="7"/>
        <v>13361.361699999999</v>
      </c>
      <c r="M56" s="100"/>
      <c r="N56" s="100"/>
      <c r="O56" s="100"/>
      <c r="P56" s="100"/>
      <c r="Q56" s="101"/>
      <c r="R56" s="62" t="e">
        <f>#REF!</f>
        <v>#REF!</v>
      </c>
      <c r="S56" s="59"/>
      <c r="T56" s="59" t="e">
        <f>#REF!</f>
        <v>#REF!</v>
      </c>
      <c r="U56" s="59" t="e">
        <f>#REF!</f>
        <v>#REF!</v>
      </c>
      <c r="V56" s="61" t="e">
        <f>#REF!</f>
        <v>#REF!</v>
      </c>
      <c r="W56" s="102"/>
      <c r="X56" s="11"/>
      <c r="Y56" s="11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pans="1:44" s="13" customFormat="1" ht="36.75" customHeight="1">
      <c r="A57" s="38"/>
      <c r="B57" s="66" t="s">
        <v>61</v>
      </c>
      <c r="C57" s="59"/>
      <c r="D57" s="56"/>
      <c r="E57" s="59"/>
      <c r="F57" s="59"/>
      <c r="G57" s="60"/>
      <c r="H57" s="59"/>
      <c r="I57" s="59"/>
      <c r="J57" s="59"/>
      <c r="K57" s="59"/>
      <c r="L57" s="100"/>
      <c r="M57" s="100"/>
      <c r="N57" s="100"/>
      <c r="O57" s="100"/>
      <c r="P57" s="100"/>
      <c r="Q57" s="101"/>
      <c r="R57" s="62"/>
      <c r="S57" s="62"/>
      <c r="T57" s="59"/>
      <c r="U57" s="60"/>
      <c r="V57" s="61"/>
      <c r="W57" s="102"/>
      <c r="X57" s="11"/>
      <c r="Y57" s="11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pans="1:44" s="13" customFormat="1" ht="24" customHeight="1">
      <c r="A58" s="65">
        <v>35</v>
      </c>
      <c r="B58" s="66" t="s">
        <v>62</v>
      </c>
      <c r="C58" s="67">
        <v>0.34100000000000003</v>
      </c>
      <c r="D58" s="96"/>
      <c r="E58" s="69">
        <v>10374.5</v>
      </c>
      <c r="F58" s="69">
        <v>9752</v>
      </c>
      <c r="G58" s="69">
        <f>E58-F58</f>
        <v>622.5</v>
      </c>
      <c r="H58" s="97"/>
      <c r="I58" s="97"/>
      <c r="J58" s="193"/>
      <c r="K58" s="193"/>
      <c r="L58" s="193"/>
      <c r="M58" s="97"/>
      <c r="N58" s="97"/>
      <c r="O58" s="97"/>
      <c r="P58" s="97"/>
      <c r="Q58" s="98"/>
      <c r="R58" s="79"/>
      <c r="S58" s="79"/>
      <c r="T58" s="97"/>
      <c r="U58" s="99"/>
      <c r="V58" s="52"/>
      <c r="W58" s="11"/>
      <c r="X58" s="11"/>
      <c r="Y58" s="11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pans="1:44" s="13" customFormat="1" ht="27" customHeight="1">
      <c r="A59" s="65">
        <v>36</v>
      </c>
      <c r="B59" s="66" t="s">
        <v>63</v>
      </c>
      <c r="C59" s="67">
        <f>(1.25-0.57)+0.43</f>
        <v>1.1100000000000001</v>
      </c>
      <c r="D59" s="96"/>
      <c r="E59" s="69">
        <v>27638.82</v>
      </c>
      <c r="F59" s="69">
        <v>25980.5</v>
      </c>
      <c r="G59" s="69">
        <f>E59-F59</f>
        <v>1658.3199999999997</v>
      </c>
      <c r="H59" s="97"/>
      <c r="I59" s="97"/>
      <c r="J59" s="193"/>
      <c r="K59" s="193"/>
      <c r="L59" s="193"/>
      <c r="M59" s="97"/>
      <c r="N59" s="97"/>
      <c r="O59" s="97"/>
      <c r="P59" s="97"/>
      <c r="Q59" s="98"/>
      <c r="R59" s="79"/>
      <c r="S59" s="79"/>
      <c r="T59" s="97"/>
      <c r="U59" s="99"/>
      <c r="V59" s="52"/>
      <c r="W59" s="11"/>
      <c r="X59" s="11"/>
      <c r="Y59" s="11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pans="1:44" s="13" customFormat="1" ht="63" customHeight="1">
      <c r="A60" s="65">
        <v>37</v>
      </c>
      <c r="B60" s="66" t="s">
        <v>64</v>
      </c>
      <c r="C60" s="67">
        <v>0.85</v>
      </c>
      <c r="D60" s="96"/>
      <c r="E60" s="69">
        <v>16614.66</v>
      </c>
      <c r="F60" s="69">
        <v>15617.8</v>
      </c>
      <c r="G60" s="69">
        <f>E60-F60</f>
        <v>996.86000000000058</v>
      </c>
      <c r="H60" s="97"/>
      <c r="I60" s="97"/>
      <c r="J60" s="193"/>
      <c r="K60" s="193"/>
      <c r="L60" s="193"/>
      <c r="M60" s="97"/>
      <c r="N60" s="97"/>
      <c r="O60" s="97"/>
      <c r="P60" s="97"/>
      <c r="Q60" s="98"/>
      <c r="R60" s="79"/>
      <c r="S60" s="79"/>
      <c r="T60" s="97"/>
      <c r="U60" s="99"/>
      <c r="V60" s="52"/>
      <c r="W60" s="11"/>
      <c r="X60" s="11"/>
      <c r="Y60" s="11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1:44" s="13" customFormat="1" ht="27" customHeight="1">
      <c r="A61" s="65">
        <v>38</v>
      </c>
      <c r="B61" s="66" t="s">
        <v>65</v>
      </c>
      <c r="C61" s="67"/>
      <c r="D61" s="96"/>
      <c r="E61" s="69"/>
      <c r="F61" s="69"/>
      <c r="G61" s="69"/>
      <c r="H61" s="67">
        <f>3.41-H65</f>
        <v>2.3890000000000002</v>
      </c>
      <c r="I61" s="59"/>
      <c r="J61" s="69">
        <f>K61+L61</f>
        <v>52684.312299999998</v>
      </c>
      <c r="K61" s="69">
        <v>49523.253559999997</v>
      </c>
      <c r="L61" s="69">
        <v>3161.0587399999999</v>
      </c>
      <c r="M61" s="97"/>
      <c r="N61" s="97"/>
      <c r="O61" s="97"/>
      <c r="P61" s="97"/>
      <c r="Q61" s="98"/>
      <c r="R61" s="79"/>
      <c r="S61" s="79"/>
      <c r="T61" s="97"/>
      <c r="U61" s="99"/>
      <c r="V61" s="52"/>
      <c r="W61" s="11"/>
      <c r="X61" s="11"/>
      <c r="Y61" s="11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44" s="13" customFormat="1" ht="45" customHeight="1">
      <c r="A62" s="65"/>
      <c r="B62" s="110" t="s">
        <v>204</v>
      </c>
      <c r="C62" s="67"/>
      <c r="D62" s="96"/>
      <c r="E62" s="69"/>
      <c r="F62" s="69"/>
      <c r="G62" s="69"/>
      <c r="H62" s="67"/>
      <c r="I62" s="59"/>
      <c r="J62" s="69"/>
      <c r="K62" s="69"/>
      <c r="L62" s="69"/>
      <c r="M62" s="97"/>
      <c r="N62" s="97"/>
      <c r="O62" s="97"/>
      <c r="P62" s="97"/>
      <c r="Q62" s="98"/>
      <c r="R62" s="79"/>
      <c r="S62" s="79"/>
      <c r="T62" s="97"/>
      <c r="U62" s="99"/>
      <c r="V62" s="52"/>
      <c r="W62" s="11"/>
      <c r="X62" s="11"/>
      <c r="Y62" s="190" t="s">
        <v>93</v>
      </c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1:44" s="13" customFormat="1" ht="41.25" customHeight="1">
      <c r="A63" s="65">
        <v>39</v>
      </c>
      <c r="B63" s="110" t="s">
        <v>215</v>
      </c>
      <c r="C63" s="67"/>
      <c r="D63" s="96"/>
      <c r="E63" s="69"/>
      <c r="F63" s="69"/>
      <c r="G63" s="69"/>
      <c r="H63" s="67">
        <v>0.85699999999999998</v>
      </c>
      <c r="I63" s="59"/>
      <c r="J63" s="69">
        <f t="shared" ref="J63:J65" si="8">K63+L63</f>
        <v>24550.175019999999</v>
      </c>
      <c r="K63" s="69">
        <v>23077.164519999998</v>
      </c>
      <c r="L63" s="69">
        <v>1473.0105000000001</v>
      </c>
      <c r="M63" s="97"/>
      <c r="N63" s="97"/>
      <c r="O63" s="97"/>
      <c r="P63" s="97"/>
      <c r="Q63" s="98"/>
      <c r="R63" s="79"/>
      <c r="S63" s="79"/>
      <c r="T63" s="97"/>
      <c r="U63" s="99"/>
      <c r="V63" s="52"/>
      <c r="W63" s="11"/>
      <c r="X63" s="11"/>
      <c r="Y63" s="11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44" s="13" customFormat="1" ht="42.75" customHeight="1">
      <c r="A64" s="65">
        <v>40</v>
      </c>
      <c r="B64" s="110" t="s">
        <v>216</v>
      </c>
      <c r="C64" s="67"/>
      <c r="D64" s="96"/>
      <c r="E64" s="69"/>
      <c r="F64" s="69"/>
      <c r="G64" s="69"/>
      <c r="H64" s="67">
        <v>4.266</v>
      </c>
      <c r="I64" s="59"/>
      <c r="J64" s="69">
        <f t="shared" si="8"/>
        <v>125836.09999999999</v>
      </c>
      <c r="K64" s="69">
        <v>118285.93399999999</v>
      </c>
      <c r="L64" s="69">
        <v>7550.1660000000002</v>
      </c>
      <c r="M64" s="97"/>
      <c r="N64" s="97"/>
      <c r="O64" s="97"/>
      <c r="P64" s="97"/>
      <c r="Q64" s="98"/>
      <c r="R64" s="79"/>
      <c r="S64" s="79"/>
      <c r="T64" s="97"/>
      <c r="U64" s="99"/>
      <c r="V64" s="52"/>
      <c r="W64" s="11"/>
      <c r="X64" s="11"/>
      <c r="Y64" s="11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pans="1:44" s="13" customFormat="1" ht="45" customHeight="1">
      <c r="A65" s="65">
        <v>41</v>
      </c>
      <c r="B65" s="66" t="s">
        <v>217</v>
      </c>
      <c r="C65" s="67"/>
      <c r="D65" s="96"/>
      <c r="E65" s="69"/>
      <c r="F65" s="69"/>
      <c r="G65" s="69"/>
      <c r="H65" s="67">
        <v>1.0209999999999999</v>
      </c>
      <c r="I65" s="59"/>
      <c r="J65" s="69">
        <f t="shared" si="8"/>
        <v>19618.774379999999</v>
      </c>
      <c r="K65" s="69">
        <v>18441.647919999999</v>
      </c>
      <c r="L65" s="69">
        <v>1177.12646</v>
      </c>
      <c r="M65" s="97"/>
      <c r="N65" s="97"/>
      <c r="O65" s="97"/>
      <c r="P65" s="97"/>
      <c r="Q65" s="98"/>
      <c r="R65" s="79"/>
      <c r="S65" s="79"/>
      <c r="T65" s="97"/>
      <c r="U65" s="99"/>
      <c r="V65" s="52"/>
      <c r="W65" s="11"/>
      <c r="X65" s="11"/>
      <c r="Y65" s="11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44" s="13" customFormat="1" ht="27" hidden="1" customHeight="1">
      <c r="A66" s="65"/>
      <c r="B66" s="58" t="s">
        <v>66</v>
      </c>
      <c r="C66" s="87"/>
      <c r="D66" s="87"/>
      <c r="E66" s="87"/>
      <c r="F66" s="87"/>
      <c r="G66" s="87"/>
      <c r="H66" s="88"/>
      <c r="I66" s="88"/>
      <c r="J66" s="88"/>
      <c r="K66" s="88"/>
      <c r="L66" s="88"/>
      <c r="M66" s="88"/>
      <c r="N66" s="88"/>
      <c r="O66" s="88"/>
      <c r="P66" s="88"/>
      <c r="Q66" s="103"/>
      <c r="R66" s="79"/>
      <c r="S66" s="79"/>
      <c r="T66" s="97"/>
      <c r="U66" s="99"/>
      <c r="V66" s="52"/>
      <c r="W66" s="11"/>
      <c r="X66" s="11"/>
      <c r="Y66" s="11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44" s="13" customFormat="1" ht="24.75" hidden="1" customHeight="1">
      <c r="A67" s="65"/>
      <c r="B67" s="66"/>
      <c r="C67" s="71"/>
      <c r="D67" s="71"/>
      <c r="E67" s="71"/>
      <c r="F67" s="71"/>
      <c r="G67" s="71"/>
      <c r="H67" s="72"/>
      <c r="I67" s="71"/>
      <c r="J67" s="71"/>
      <c r="K67" s="71"/>
      <c r="L67" s="71"/>
      <c r="M67" s="71"/>
      <c r="N67" s="71"/>
      <c r="O67" s="71"/>
      <c r="P67" s="71"/>
      <c r="Q67" s="75"/>
      <c r="R67" s="104"/>
      <c r="S67" s="104"/>
      <c r="T67" s="77"/>
      <c r="U67" s="105"/>
      <c r="V67" s="52"/>
      <c r="W67" s="11"/>
      <c r="X67" s="11"/>
      <c r="Y67" s="11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44" s="13" customFormat="1" ht="27" customHeight="1">
      <c r="A68" s="65"/>
      <c r="B68" s="58" t="s">
        <v>67</v>
      </c>
      <c r="C68" s="59">
        <f>SUM(C70:C79)</f>
        <v>6.5810000000000013</v>
      </c>
      <c r="D68" s="56"/>
      <c r="E68" s="59">
        <f>SUM(E70:E79)</f>
        <v>75358.5</v>
      </c>
      <c r="F68" s="59">
        <f>SUM(F70:F79)</f>
        <v>71590.600000000006</v>
      </c>
      <c r="G68" s="59">
        <f>SUM(G70:G79)</f>
        <v>3767.9000000000051</v>
      </c>
      <c r="H68" s="88">
        <f>H81</f>
        <v>1.85</v>
      </c>
      <c r="I68" s="59"/>
      <c r="J68" s="59">
        <f>J81</f>
        <v>169668</v>
      </c>
      <c r="K68" s="59">
        <f>K81</f>
        <v>161184.6</v>
      </c>
      <c r="L68" s="59">
        <f>L81</f>
        <v>8483.3999999999942</v>
      </c>
      <c r="M68" s="59">
        <f>M81</f>
        <v>1.4500000000000002</v>
      </c>
      <c r="N68" s="59"/>
      <c r="O68" s="59">
        <f>O81</f>
        <v>169668</v>
      </c>
      <c r="P68" s="59">
        <f>P81</f>
        <v>161184.6</v>
      </c>
      <c r="Q68" s="61">
        <f>Q81</f>
        <v>8483.3999999999942</v>
      </c>
      <c r="R68" s="62">
        <f>R70</f>
        <v>3.62</v>
      </c>
      <c r="S68" s="59"/>
      <c r="T68" s="59">
        <f>T70</f>
        <v>46144</v>
      </c>
      <c r="U68" s="59">
        <f>U70</f>
        <v>43837</v>
      </c>
      <c r="V68" s="61">
        <f>V70</f>
        <v>2307</v>
      </c>
      <c r="W68" s="11"/>
      <c r="X68" s="11"/>
      <c r="Y68" s="11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44" s="13" customFormat="1" ht="29.25" customHeight="1">
      <c r="A69" s="65"/>
      <c r="B69" s="66" t="s">
        <v>55</v>
      </c>
      <c r="C69" s="59"/>
      <c r="D69" s="56"/>
      <c r="E69" s="77"/>
      <c r="F69" s="106"/>
      <c r="G69" s="59"/>
      <c r="H69" s="88"/>
      <c r="I69" s="59"/>
      <c r="J69" s="59"/>
      <c r="K69" s="59"/>
      <c r="L69" s="59"/>
      <c r="M69" s="59"/>
      <c r="N69" s="59"/>
      <c r="O69" s="59"/>
      <c r="P69" s="59"/>
      <c r="Q69" s="61"/>
      <c r="R69" s="62"/>
      <c r="S69" s="62"/>
      <c r="T69" s="59"/>
      <c r="U69" s="60"/>
      <c r="V69" s="61"/>
      <c r="W69" s="11"/>
      <c r="X69" s="11"/>
      <c r="Y69" s="11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44" s="13" customFormat="1" ht="26.1" customHeight="1">
      <c r="A70" s="65">
        <v>42</v>
      </c>
      <c r="B70" s="66" t="s">
        <v>68</v>
      </c>
      <c r="C70" s="67">
        <v>1.83</v>
      </c>
      <c r="D70" s="71"/>
      <c r="E70" s="69">
        <v>30133</v>
      </c>
      <c r="F70" s="107">
        <f t="shared" ref="F70:F78" si="9">E70*0.95</f>
        <v>28626.35</v>
      </c>
      <c r="G70" s="107">
        <f t="shared" ref="G70:G79" si="10">E70-F70</f>
        <v>1506.6500000000015</v>
      </c>
      <c r="H70" s="72"/>
      <c r="I70" s="71"/>
      <c r="J70" s="71"/>
      <c r="K70" s="71"/>
      <c r="L70" s="71"/>
      <c r="M70" s="71"/>
      <c r="N70" s="71"/>
      <c r="O70" s="71"/>
      <c r="P70" s="71"/>
      <c r="Q70" s="75"/>
      <c r="R70" s="74">
        <v>3.62</v>
      </c>
      <c r="S70" s="74"/>
      <c r="T70" s="69">
        <v>46144</v>
      </c>
      <c r="U70" s="70">
        <v>43837</v>
      </c>
      <c r="V70" s="73">
        <f>T70-U70</f>
        <v>2307</v>
      </c>
      <c r="W70" s="11"/>
      <c r="X70" s="11"/>
      <c r="Y70" s="11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44" s="13" customFormat="1" ht="26.1" customHeight="1">
      <c r="A71" s="65">
        <v>43</v>
      </c>
      <c r="B71" s="66" t="s">
        <v>69</v>
      </c>
      <c r="C71" s="67">
        <v>1.79</v>
      </c>
      <c r="D71" s="71"/>
      <c r="E71" s="69">
        <v>16011</v>
      </c>
      <c r="F71" s="107">
        <f t="shared" si="9"/>
        <v>15210.449999999999</v>
      </c>
      <c r="G71" s="107">
        <f t="shared" si="10"/>
        <v>800.55000000000109</v>
      </c>
      <c r="H71" s="72"/>
      <c r="I71" s="71"/>
      <c r="J71" s="71"/>
      <c r="K71" s="71"/>
      <c r="L71" s="71"/>
      <c r="M71" s="71"/>
      <c r="N71" s="71"/>
      <c r="O71" s="71"/>
      <c r="P71" s="71"/>
      <c r="Q71" s="75"/>
      <c r="R71" s="74"/>
      <c r="S71" s="74"/>
      <c r="T71" s="69"/>
      <c r="U71" s="70"/>
      <c r="V71" s="73"/>
      <c r="W71" s="11"/>
      <c r="X71" s="11"/>
      <c r="Y71" s="11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44" s="13" customFormat="1" ht="26.1" customHeight="1">
      <c r="A72" s="65">
        <v>44</v>
      </c>
      <c r="B72" s="66" t="s">
        <v>70</v>
      </c>
      <c r="C72" s="67">
        <v>0.6</v>
      </c>
      <c r="D72" s="71"/>
      <c r="E72" s="69">
        <v>5485.2449999999999</v>
      </c>
      <c r="F72" s="107">
        <f t="shared" si="9"/>
        <v>5210.9827499999992</v>
      </c>
      <c r="G72" s="107">
        <f t="shared" si="10"/>
        <v>274.26225000000068</v>
      </c>
      <c r="H72" s="108"/>
      <c r="I72" s="108"/>
      <c r="J72" s="108"/>
      <c r="K72" s="108"/>
      <c r="L72" s="108"/>
      <c r="M72" s="108"/>
      <c r="N72" s="71"/>
      <c r="O72" s="71"/>
      <c r="P72" s="71"/>
      <c r="Q72" s="75"/>
      <c r="R72" s="74"/>
      <c r="S72" s="74"/>
      <c r="T72" s="69"/>
      <c r="U72" s="70"/>
      <c r="V72" s="73"/>
      <c r="W72" s="11"/>
      <c r="X72" s="11"/>
      <c r="Y72" s="11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44" s="13" customFormat="1" ht="26.1" customHeight="1">
      <c r="A73" s="65">
        <v>45</v>
      </c>
      <c r="B73" s="66" t="s">
        <v>71</v>
      </c>
      <c r="C73" s="67">
        <v>0.2</v>
      </c>
      <c r="D73" s="71"/>
      <c r="E73" s="69">
        <v>1828.415</v>
      </c>
      <c r="F73" s="107">
        <f t="shared" si="9"/>
        <v>1736.99425</v>
      </c>
      <c r="G73" s="107">
        <f t="shared" si="10"/>
        <v>91.420749999999998</v>
      </c>
      <c r="H73" s="108"/>
      <c r="I73" s="108"/>
      <c r="J73" s="108"/>
      <c r="K73" s="108"/>
      <c r="L73" s="108"/>
      <c r="M73" s="108"/>
      <c r="N73" s="71"/>
      <c r="O73" s="71"/>
      <c r="P73" s="71"/>
      <c r="Q73" s="75"/>
      <c r="R73" s="74"/>
      <c r="S73" s="74"/>
      <c r="T73" s="69"/>
      <c r="U73" s="70"/>
      <c r="V73" s="73"/>
      <c r="W73" s="11"/>
      <c r="X73" s="11"/>
      <c r="Y73" s="11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1:44" s="13" customFormat="1" ht="26.1" customHeight="1">
      <c r="A74" s="65">
        <v>46</v>
      </c>
      <c r="B74" s="66" t="s">
        <v>72</v>
      </c>
      <c r="C74" s="67">
        <v>0.15</v>
      </c>
      <c r="D74" s="71"/>
      <c r="E74" s="69">
        <v>1371.3050000000001</v>
      </c>
      <c r="F74" s="107">
        <f t="shared" si="9"/>
        <v>1302.73975</v>
      </c>
      <c r="G74" s="107">
        <f t="shared" si="10"/>
        <v>68.565250000000106</v>
      </c>
      <c r="H74" s="108"/>
      <c r="I74" s="108"/>
      <c r="J74" s="108"/>
      <c r="K74" s="108"/>
      <c r="L74" s="108"/>
      <c r="M74" s="108"/>
      <c r="N74" s="71"/>
      <c r="O74" s="71"/>
      <c r="P74" s="71"/>
      <c r="Q74" s="75"/>
      <c r="R74" s="74"/>
      <c r="S74" s="74"/>
      <c r="T74" s="69"/>
      <c r="U74" s="70"/>
      <c r="V74" s="73"/>
      <c r="W74" s="11"/>
      <c r="X74" s="11"/>
      <c r="Y74" s="11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  <row r="75" spans="1:44" s="13" customFormat="1" ht="26.1" customHeight="1">
      <c r="A75" s="65">
        <v>47</v>
      </c>
      <c r="B75" s="66" t="s">
        <v>73</v>
      </c>
      <c r="C75" s="67">
        <v>0.4</v>
      </c>
      <c r="D75" s="71"/>
      <c r="E75" s="69">
        <v>3656.8249999999998</v>
      </c>
      <c r="F75" s="107">
        <f t="shared" si="9"/>
        <v>3473.9837499999999</v>
      </c>
      <c r="G75" s="107">
        <f t="shared" si="10"/>
        <v>182.84124999999995</v>
      </c>
      <c r="H75" s="108"/>
      <c r="I75" s="108"/>
      <c r="J75" s="108"/>
      <c r="K75" s="108"/>
      <c r="L75" s="108"/>
      <c r="M75" s="108"/>
      <c r="N75" s="71"/>
      <c r="O75" s="71"/>
      <c r="P75" s="71"/>
      <c r="Q75" s="75"/>
      <c r="R75" s="74"/>
      <c r="S75" s="74"/>
      <c r="T75" s="69"/>
      <c r="U75" s="70"/>
      <c r="V75" s="73"/>
      <c r="W75" s="11"/>
      <c r="X75" s="11"/>
      <c r="Y75" s="11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</row>
    <row r="76" spans="1:44" s="13" customFormat="1" ht="26.1" customHeight="1">
      <c r="A76" s="65">
        <v>48</v>
      </c>
      <c r="B76" s="66" t="s">
        <v>74</v>
      </c>
      <c r="C76" s="67">
        <v>0.2</v>
      </c>
      <c r="D76" s="71"/>
      <c r="E76" s="69">
        <v>1828.415</v>
      </c>
      <c r="F76" s="107">
        <f t="shared" si="9"/>
        <v>1736.99425</v>
      </c>
      <c r="G76" s="107">
        <f t="shared" si="10"/>
        <v>91.420749999999998</v>
      </c>
      <c r="H76" s="108"/>
      <c r="I76" s="108"/>
      <c r="J76" s="108"/>
      <c r="K76" s="108"/>
      <c r="L76" s="108"/>
      <c r="M76" s="108"/>
      <c r="N76" s="71"/>
      <c r="O76" s="71"/>
      <c r="P76" s="71"/>
      <c r="Q76" s="75"/>
      <c r="R76" s="74"/>
      <c r="S76" s="74"/>
      <c r="T76" s="69"/>
      <c r="U76" s="70"/>
      <c r="V76" s="73"/>
      <c r="W76" s="11"/>
      <c r="X76" s="11"/>
      <c r="Y76" s="11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</row>
    <row r="77" spans="1:44" s="13" customFormat="1" ht="26.1" customHeight="1">
      <c r="A77" s="65">
        <v>49</v>
      </c>
      <c r="B77" s="66" t="s">
        <v>75</v>
      </c>
      <c r="C77" s="67">
        <v>0.2</v>
      </c>
      <c r="D77" s="71"/>
      <c r="E77" s="69">
        <v>1828.415</v>
      </c>
      <c r="F77" s="107">
        <f t="shared" si="9"/>
        <v>1736.99425</v>
      </c>
      <c r="G77" s="107">
        <f t="shared" si="10"/>
        <v>91.420749999999998</v>
      </c>
      <c r="H77" s="108"/>
      <c r="I77" s="108"/>
      <c r="J77" s="108"/>
      <c r="K77" s="108"/>
      <c r="L77" s="108"/>
      <c r="M77" s="108"/>
      <c r="N77" s="71"/>
      <c r="O77" s="71"/>
      <c r="P77" s="71"/>
      <c r="Q77" s="75"/>
      <c r="R77" s="74"/>
      <c r="S77" s="74"/>
      <c r="T77" s="69"/>
      <c r="U77" s="70"/>
      <c r="V77" s="73"/>
      <c r="W77" s="11"/>
      <c r="X77" s="11"/>
      <c r="Y77" s="11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</row>
    <row r="78" spans="1:44" s="13" customFormat="1" ht="26.1" customHeight="1">
      <c r="A78" s="65">
        <v>50</v>
      </c>
      <c r="B78" s="66" t="s">
        <v>76</v>
      </c>
      <c r="C78" s="67">
        <v>0.67600000000000005</v>
      </c>
      <c r="D78" s="71"/>
      <c r="E78" s="69">
        <v>7625.2849999999999</v>
      </c>
      <c r="F78" s="107">
        <f t="shared" si="9"/>
        <v>7244.0207499999997</v>
      </c>
      <c r="G78" s="107">
        <f t="shared" si="10"/>
        <v>381.26425000000017</v>
      </c>
      <c r="H78" s="108"/>
      <c r="I78" s="108"/>
      <c r="J78" s="108"/>
      <c r="K78" s="108"/>
      <c r="L78" s="108"/>
      <c r="M78" s="108"/>
      <c r="N78" s="71"/>
      <c r="O78" s="71"/>
      <c r="P78" s="71"/>
      <c r="Q78" s="75"/>
      <c r="R78" s="74"/>
      <c r="S78" s="74"/>
      <c r="T78" s="69"/>
      <c r="U78" s="70"/>
      <c r="V78" s="73"/>
      <c r="W78" s="11"/>
      <c r="X78" s="11"/>
      <c r="Y78" s="11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44" s="13" customFormat="1" ht="26.1" customHeight="1">
      <c r="A79" s="65">
        <v>51</v>
      </c>
      <c r="B79" s="66" t="s">
        <v>77</v>
      </c>
      <c r="C79" s="67">
        <v>0.53500000000000003</v>
      </c>
      <c r="D79" s="71"/>
      <c r="E79" s="69">
        <f>5590.54+0.055</f>
        <v>5590.5950000000003</v>
      </c>
      <c r="F79" s="107">
        <f>E79*0.95+0.025</f>
        <v>5311.0902499999993</v>
      </c>
      <c r="G79" s="107">
        <f t="shared" si="10"/>
        <v>279.50475000000097</v>
      </c>
      <c r="H79" s="109"/>
      <c r="I79" s="109"/>
      <c r="J79" s="109"/>
      <c r="K79" s="109"/>
      <c r="L79" s="109"/>
      <c r="M79" s="109"/>
      <c r="N79" s="71"/>
      <c r="O79" s="71"/>
      <c r="P79" s="71"/>
      <c r="Q79" s="75"/>
      <c r="R79" s="74"/>
      <c r="S79" s="74"/>
      <c r="T79" s="69"/>
      <c r="U79" s="70"/>
      <c r="V79" s="73"/>
      <c r="W79" s="11"/>
      <c r="X79" s="11"/>
      <c r="Y79" s="11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</row>
    <row r="80" spans="1:44" s="13" customFormat="1" ht="44.25" customHeight="1">
      <c r="A80" s="65"/>
      <c r="B80" s="110" t="s">
        <v>78</v>
      </c>
      <c r="C80" s="67"/>
      <c r="D80" s="71"/>
      <c r="E80" s="69"/>
      <c r="F80" s="107"/>
      <c r="G80" s="107"/>
      <c r="H80" s="109"/>
      <c r="I80" s="109"/>
      <c r="J80" s="109"/>
      <c r="K80" s="109"/>
      <c r="L80" s="109"/>
      <c r="M80" s="109"/>
      <c r="N80" s="71"/>
      <c r="O80" s="71"/>
      <c r="P80" s="71"/>
      <c r="Q80" s="75"/>
      <c r="R80" s="74"/>
      <c r="S80" s="74"/>
      <c r="T80" s="69"/>
      <c r="U80" s="70"/>
      <c r="V80" s="73"/>
      <c r="W80" s="11"/>
      <c r="X80" s="11"/>
      <c r="Y80" s="11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</row>
    <row r="81" spans="1:44" s="13" customFormat="1" ht="42" customHeight="1">
      <c r="A81" s="65">
        <v>52</v>
      </c>
      <c r="B81" s="66" t="s">
        <v>79</v>
      </c>
      <c r="C81" s="67"/>
      <c r="D81" s="71"/>
      <c r="E81" s="69"/>
      <c r="F81" s="107"/>
      <c r="G81" s="107"/>
      <c r="H81" s="67">
        <v>1.85</v>
      </c>
      <c r="I81" s="59"/>
      <c r="J81" s="69">
        <f>339336/2</f>
        <v>169668</v>
      </c>
      <c r="K81" s="69">
        <f>161184.6</f>
        <v>161184.6</v>
      </c>
      <c r="L81" s="69">
        <f>J81-K81</f>
        <v>8483.3999999999942</v>
      </c>
      <c r="M81" s="67">
        <f>1.11+0.34</f>
        <v>1.4500000000000002</v>
      </c>
      <c r="N81" s="59"/>
      <c r="O81" s="69">
        <v>169668</v>
      </c>
      <c r="P81" s="69">
        <f>161184.6</f>
        <v>161184.6</v>
      </c>
      <c r="Q81" s="73">
        <f>O81-P81</f>
        <v>8483.3999999999942</v>
      </c>
      <c r="R81" s="74"/>
      <c r="S81" s="74"/>
      <c r="T81" s="69"/>
      <c r="U81" s="70"/>
      <c r="V81" s="73"/>
      <c r="W81" s="11"/>
      <c r="X81" s="11"/>
      <c r="Y81" s="11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</row>
    <row r="82" spans="1:44" s="13" customFormat="1" ht="28.5" customHeight="1">
      <c r="A82" s="65"/>
      <c r="B82" s="58" t="s">
        <v>80</v>
      </c>
      <c r="C82" s="59">
        <f>C83</f>
        <v>3.7169999999999996</v>
      </c>
      <c r="D82" s="56"/>
      <c r="E82" s="59">
        <f>E83</f>
        <v>40000</v>
      </c>
      <c r="F82" s="59">
        <f>F83</f>
        <v>37999.999999999993</v>
      </c>
      <c r="G82" s="59">
        <f>G83</f>
        <v>2000.0000000000025</v>
      </c>
      <c r="H82" s="59"/>
      <c r="I82" s="59"/>
      <c r="J82" s="59"/>
      <c r="K82" s="59"/>
      <c r="L82" s="59"/>
      <c r="M82" s="59">
        <f>M83</f>
        <v>7.2519999999999998</v>
      </c>
      <c r="N82" s="59"/>
      <c r="O82" s="59">
        <f>O83</f>
        <v>147368.4</v>
      </c>
      <c r="P82" s="59">
        <f>P83</f>
        <v>140000</v>
      </c>
      <c r="Q82" s="61">
        <f>Q83</f>
        <v>7368.3999999999942</v>
      </c>
      <c r="R82" s="111">
        <f>R83</f>
        <v>1.6</v>
      </c>
      <c r="S82" s="112"/>
      <c r="T82" s="59">
        <f>T83</f>
        <v>40000</v>
      </c>
      <c r="U82" s="59">
        <f>U83</f>
        <v>38000</v>
      </c>
      <c r="V82" s="61">
        <f>V83</f>
        <v>2000</v>
      </c>
      <c r="W82" s="113"/>
      <c r="X82" s="11"/>
      <c r="Y82" s="11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</row>
    <row r="83" spans="1:44" s="13" customFormat="1" ht="39" customHeight="1">
      <c r="A83" s="65"/>
      <c r="B83" s="66" t="s">
        <v>61</v>
      </c>
      <c r="C83" s="67">
        <f>SUM(C88:C92)</f>
        <v>3.7169999999999996</v>
      </c>
      <c r="D83" s="71"/>
      <c r="E83" s="69">
        <f>SUM(E88:E92)</f>
        <v>40000</v>
      </c>
      <c r="F83" s="69">
        <f>SUM(F88:F92)</f>
        <v>37999.999999999993</v>
      </c>
      <c r="G83" s="69">
        <f>SUM(G88:G92)</f>
        <v>2000.0000000000025</v>
      </c>
      <c r="H83" s="72"/>
      <c r="I83" s="71"/>
      <c r="J83" s="71"/>
      <c r="K83" s="71"/>
      <c r="L83" s="71"/>
      <c r="M83" s="67">
        <v>7.2519999999999998</v>
      </c>
      <c r="N83" s="71"/>
      <c r="O83" s="72">
        <v>147368.4</v>
      </c>
      <c r="P83" s="72">
        <v>140000</v>
      </c>
      <c r="Q83" s="132">
        <f>O83-P83</f>
        <v>7368.3999999999942</v>
      </c>
      <c r="R83" s="114">
        <v>1.6</v>
      </c>
      <c r="S83" s="115"/>
      <c r="T83" s="107">
        <v>40000</v>
      </c>
      <c r="U83" s="116">
        <f>T83*0.95</f>
        <v>38000</v>
      </c>
      <c r="V83" s="117">
        <f>T83-U83</f>
        <v>2000</v>
      </c>
      <c r="W83" s="180">
        <f>P83/O83*100</f>
        <v>95.000013571430515</v>
      </c>
      <c r="X83" s="11"/>
      <c r="Y83" s="11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</row>
    <row r="84" spans="1:44" s="13" customFormat="1" ht="27.75" hidden="1" customHeight="1">
      <c r="A84" s="65"/>
      <c r="B84" s="58" t="s">
        <v>81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61"/>
      <c r="R84" s="62">
        <f>R85</f>
        <v>4.45</v>
      </c>
      <c r="S84" s="62"/>
      <c r="T84" s="59">
        <f>T85</f>
        <v>186480</v>
      </c>
      <c r="U84" s="60">
        <f>U85</f>
        <v>186480</v>
      </c>
      <c r="V84" s="52"/>
      <c r="W84" s="11" t="s">
        <v>36</v>
      </c>
      <c r="X84" s="11"/>
      <c r="Y84" s="11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</row>
    <row r="85" spans="1:44" s="13" customFormat="1" ht="27.75" hidden="1" customHeight="1">
      <c r="A85" s="65"/>
      <c r="B85" s="118"/>
      <c r="C85" s="96"/>
      <c r="D85" s="96"/>
      <c r="E85" s="119"/>
      <c r="F85" s="119"/>
      <c r="G85" s="119"/>
      <c r="H85" s="112"/>
      <c r="I85" s="59"/>
      <c r="J85" s="59"/>
      <c r="K85" s="59"/>
      <c r="L85" s="97"/>
      <c r="M85" s="112"/>
      <c r="N85" s="112"/>
      <c r="O85" s="56"/>
      <c r="P85" s="56"/>
      <c r="Q85" s="120"/>
      <c r="R85" s="121">
        <v>4.45</v>
      </c>
      <c r="S85" s="111"/>
      <c r="T85" s="59">
        <v>186480</v>
      </c>
      <c r="U85" s="60">
        <f>T85</f>
        <v>186480</v>
      </c>
      <c r="V85" s="52"/>
      <c r="W85" s="11"/>
      <c r="X85" s="11"/>
      <c r="Y85" s="11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</row>
    <row r="86" spans="1:44" s="13" customFormat="1" ht="27" hidden="1" customHeight="1">
      <c r="A86" s="65"/>
      <c r="B86" s="66" t="s">
        <v>82</v>
      </c>
      <c r="C86" s="67"/>
      <c r="D86" s="96"/>
      <c r="E86" s="69"/>
      <c r="F86" s="107"/>
      <c r="G86" s="107"/>
      <c r="H86" s="112"/>
      <c r="I86" s="59"/>
      <c r="J86" s="59"/>
      <c r="K86" s="59"/>
      <c r="L86" s="97"/>
      <c r="M86" s="112"/>
      <c r="N86" s="112"/>
      <c r="O86" s="56"/>
      <c r="P86" s="56"/>
      <c r="Q86" s="120"/>
      <c r="R86" s="121"/>
      <c r="S86" s="111"/>
      <c r="T86" s="59"/>
      <c r="U86" s="60"/>
      <c r="V86" s="52"/>
      <c r="W86" s="11"/>
      <c r="X86" s="11"/>
      <c r="Y86" s="11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</row>
    <row r="87" spans="1:44" s="13" customFormat="1" ht="26.25" hidden="1" customHeight="1">
      <c r="A87" s="65"/>
      <c r="B87" s="66" t="s">
        <v>83</v>
      </c>
      <c r="C87" s="67"/>
      <c r="D87" s="96"/>
      <c r="E87" s="69"/>
      <c r="F87" s="107"/>
      <c r="G87" s="107"/>
      <c r="H87" s="112"/>
      <c r="I87" s="59"/>
      <c r="J87" s="59"/>
      <c r="K87" s="59"/>
      <c r="L87" s="97"/>
      <c r="M87" s="112"/>
      <c r="N87" s="112"/>
      <c r="O87" s="56"/>
      <c r="P87" s="56"/>
      <c r="Q87" s="120"/>
      <c r="R87" s="121"/>
      <c r="S87" s="111"/>
      <c r="T87" s="59"/>
      <c r="U87" s="60"/>
      <c r="V87" s="52"/>
      <c r="W87" s="11"/>
      <c r="X87" s="11"/>
      <c r="Y87" s="11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</row>
    <row r="88" spans="1:44" s="13" customFormat="1" ht="27" customHeight="1">
      <c r="A88" s="65">
        <v>53</v>
      </c>
      <c r="B88" s="66" t="s">
        <v>84</v>
      </c>
      <c r="C88" s="67">
        <v>0.24</v>
      </c>
      <c r="D88" s="96"/>
      <c r="E88" s="69">
        <v>2261.2043199999998</v>
      </c>
      <c r="F88" s="107">
        <f>E88*0.95</f>
        <v>2148.1441039999995</v>
      </c>
      <c r="G88" s="107">
        <f>E88-F88</f>
        <v>113.06021600000031</v>
      </c>
      <c r="H88" s="112"/>
      <c r="I88" s="59"/>
      <c r="J88" s="59"/>
      <c r="K88" s="59"/>
      <c r="L88" s="97"/>
      <c r="M88" s="112"/>
      <c r="N88" s="112"/>
      <c r="O88" s="56"/>
      <c r="P88" s="56"/>
      <c r="Q88" s="120"/>
      <c r="R88" s="121"/>
      <c r="S88" s="111"/>
      <c r="T88" s="59"/>
      <c r="U88" s="60"/>
      <c r="V88" s="52"/>
      <c r="W88" s="11"/>
      <c r="X88" s="11"/>
      <c r="Y88" s="11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</row>
    <row r="89" spans="1:44" s="13" customFormat="1" ht="27" customHeight="1">
      <c r="A89" s="65">
        <v>54</v>
      </c>
      <c r="B89" s="66" t="s">
        <v>85</v>
      </c>
      <c r="C89" s="67">
        <v>0.85299999999999998</v>
      </c>
      <c r="D89" s="96"/>
      <c r="E89" s="69">
        <v>12646.56243</v>
      </c>
      <c r="F89" s="107">
        <f>E89*0.95</f>
        <v>12014.234308499999</v>
      </c>
      <c r="G89" s="107">
        <f>E89-F89</f>
        <v>632.32812150000063</v>
      </c>
      <c r="H89" s="112"/>
      <c r="I89" s="59"/>
      <c r="J89" s="59"/>
      <c r="K89" s="59"/>
      <c r="L89" s="97"/>
      <c r="M89" s="112"/>
      <c r="N89" s="112"/>
      <c r="O89" s="56"/>
      <c r="P89" s="56"/>
      <c r="Q89" s="120"/>
      <c r="R89" s="121"/>
      <c r="S89" s="111"/>
      <c r="T89" s="59"/>
      <c r="U89" s="60"/>
      <c r="V89" s="52"/>
      <c r="W89" s="11"/>
      <c r="X89" s="11"/>
      <c r="Y89" s="11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pans="1:44" s="13" customFormat="1" ht="27" customHeight="1">
      <c r="A90" s="65">
        <v>55</v>
      </c>
      <c r="B90" s="66" t="s">
        <v>86</v>
      </c>
      <c r="C90" s="67">
        <v>0.65400000000000003</v>
      </c>
      <c r="D90" s="96"/>
      <c r="E90" s="69">
        <v>7082.3833800000002</v>
      </c>
      <c r="F90" s="107">
        <f>E90*0.95</f>
        <v>6728.2642109999997</v>
      </c>
      <c r="G90" s="122">
        <f>E90-F90</f>
        <v>354.11916900000051</v>
      </c>
      <c r="H90" s="112"/>
      <c r="I90" s="59"/>
      <c r="J90" s="59"/>
      <c r="K90" s="59"/>
      <c r="L90" s="97"/>
      <c r="M90" s="112"/>
      <c r="N90" s="112"/>
      <c r="O90" s="56"/>
      <c r="P90" s="56"/>
      <c r="Q90" s="120"/>
      <c r="R90" s="121"/>
      <c r="S90" s="111"/>
      <c r="T90" s="59"/>
      <c r="U90" s="60"/>
      <c r="V90" s="52"/>
      <c r="W90" s="11"/>
      <c r="X90" s="11"/>
      <c r="Y90" s="11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pans="1:44" s="13" customFormat="1" ht="27" customHeight="1">
      <c r="A91" s="65">
        <v>56</v>
      </c>
      <c r="B91" s="66" t="s">
        <v>87</v>
      </c>
      <c r="C91" s="67">
        <v>0.15</v>
      </c>
      <c r="D91" s="96"/>
      <c r="E91" s="69">
        <v>1631.4956</v>
      </c>
      <c r="F91" s="107">
        <f>E91*0.95</f>
        <v>1549.9208199999998</v>
      </c>
      <c r="G91" s="107">
        <f>E91-F91</f>
        <v>81.574780000000146</v>
      </c>
      <c r="H91" s="112"/>
      <c r="I91" s="59"/>
      <c r="J91" s="59"/>
      <c r="K91" s="59"/>
      <c r="L91" s="97"/>
      <c r="M91" s="112"/>
      <c r="N91" s="112"/>
      <c r="O91" s="56"/>
      <c r="P91" s="56"/>
      <c r="Q91" s="120"/>
      <c r="R91" s="121"/>
      <c r="S91" s="111"/>
      <c r="T91" s="59"/>
      <c r="U91" s="60"/>
      <c r="V91" s="52"/>
      <c r="W91" s="11"/>
      <c r="X91" s="11"/>
      <c r="Y91" s="11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pans="1:44" s="13" customFormat="1" ht="27" customHeight="1">
      <c r="A92" s="65">
        <v>57</v>
      </c>
      <c r="B92" s="66" t="s">
        <v>88</v>
      </c>
      <c r="C92" s="67">
        <v>1.82</v>
      </c>
      <c r="D92" s="96"/>
      <c r="E92" s="69">
        <v>16378.35427</v>
      </c>
      <c r="F92" s="107">
        <f>E92*0.95</f>
        <v>15559.436556499999</v>
      </c>
      <c r="G92" s="107">
        <f>E92-F92</f>
        <v>818.9177135000009</v>
      </c>
      <c r="H92" s="112"/>
      <c r="I92" s="59"/>
      <c r="J92" s="59"/>
      <c r="K92" s="59"/>
      <c r="L92" s="97"/>
      <c r="M92" s="112"/>
      <c r="N92" s="112"/>
      <c r="O92" s="56"/>
      <c r="P92" s="56"/>
      <c r="Q92" s="120"/>
      <c r="R92" s="121"/>
      <c r="S92" s="111"/>
      <c r="T92" s="59"/>
      <c r="U92" s="60"/>
      <c r="V92" s="52"/>
      <c r="W92" s="11"/>
      <c r="X92" s="11"/>
      <c r="Y92" s="11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pans="1:44" s="16" customFormat="1" ht="24" customHeight="1">
      <c r="A93" s="123"/>
      <c r="B93" s="58" t="s">
        <v>89</v>
      </c>
      <c r="C93" s="59">
        <f>SUM(C94:C94)</f>
        <v>2.9460000000000002</v>
      </c>
      <c r="D93" s="87"/>
      <c r="E93" s="88">
        <f>SUM(E94)</f>
        <v>40000</v>
      </c>
      <c r="F93" s="88">
        <f>SUM(F94)</f>
        <v>38000</v>
      </c>
      <c r="G93" s="88">
        <f>SUM(G94)</f>
        <v>2000</v>
      </c>
      <c r="H93" s="88"/>
      <c r="I93" s="88"/>
      <c r="J93" s="88"/>
      <c r="K93" s="88"/>
      <c r="L93" s="88"/>
      <c r="M93" s="88"/>
      <c r="N93" s="88"/>
      <c r="O93" s="88"/>
      <c r="P93" s="88"/>
      <c r="Q93" s="103"/>
      <c r="R93" s="62" t="e">
        <f>#REF!</f>
        <v>#REF!</v>
      </c>
      <c r="S93" s="59"/>
      <c r="T93" s="59" t="e">
        <f>#REF!</f>
        <v>#REF!</v>
      </c>
      <c r="U93" s="59" t="e">
        <f>#REF!</f>
        <v>#REF!</v>
      </c>
      <c r="V93" s="61" t="e">
        <f>#REF!</f>
        <v>#REF!</v>
      </c>
      <c r="W93" s="11"/>
      <c r="X93" s="11"/>
      <c r="Y93" s="11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pans="1:44" s="13" customFormat="1" ht="29.25" customHeight="1">
      <c r="A94" s="65"/>
      <c r="B94" s="66" t="s">
        <v>55</v>
      </c>
      <c r="C94" s="67">
        <f>C95+C96</f>
        <v>2.9460000000000002</v>
      </c>
      <c r="D94" s="96"/>
      <c r="E94" s="72">
        <v>40000</v>
      </c>
      <c r="F94" s="72">
        <v>38000</v>
      </c>
      <c r="G94" s="72">
        <v>2000</v>
      </c>
      <c r="H94" s="124"/>
      <c r="I94" s="124"/>
      <c r="J94" s="124"/>
      <c r="K94" s="124"/>
      <c r="L94" s="124"/>
      <c r="M94" s="124"/>
      <c r="N94" s="124"/>
      <c r="O94" s="124"/>
      <c r="P94" s="124"/>
      <c r="Q94" s="125"/>
      <c r="R94" s="126"/>
      <c r="S94" s="126"/>
      <c r="T94" s="124"/>
      <c r="U94" s="127"/>
      <c r="V94" s="52"/>
      <c r="W94" s="11"/>
      <c r="X94" s="11"/>
      <c r="Y94" s="11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pans="1:44" s="13" customFormat="1" ht="39" customHeight="1">
      <c r="A95" s="65">
        <v>58</v>
      </c>
      <c r="B95" s="66" t="s">
        <v>218</v>
      </c>
      <c r="C95" s="67">
        <v>2.1480000000000001</v>
      </c>
      <c r="D95" s="96"/>
      <c r="E95" s="72">
        <v>25783.490890000001</v>
      </c>
      <c r="F95" s="72">
        <f>E95*0.95</f>
        <v>24494.316345499999</v>
      </c>
      <c r="G95" s="72">
        <f>E95-F95</f>
        <v>1289.1745445000015</v>
      </c>
      <c r="H95" s="124"/>
      <c r="I95" s="124"/>
      <c r="J95" s="124"/>
      <c r="K95" s="124"/>
      <c r="L95" s="124"/>
      <c r="M95" s="124"/>
      <c r="N95" s="124"/>
      <c r="O95" s="124"/>
      <c r="P95" s="124"/>
      <c r="Q95" s="125"/>
      <c r="R95" s="126"/>
      <c r="S95" s="126"/>
      <c r="T95" s="124"/>
      <c r="U95" s="127"/>
      <c r="V95" s="52"/>
      <c r="W95" s="11"/>
      <c r="X95" s="11"/>
      <c r="Y95" s="11"/>
      <c r="Z95" s="4" t="s">
        <v>90</v>
      </c>
      <c r="AA95" s="191" t="s">
        <v>93</v>
      </c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pans="1:44" s="13" customFormat="1" ht="30.75" customHeight="1">
      <c r="A96" s="65">
        <v>59</v>
      </c>
      <c r="B96" s="66" t="s">
        <v>91</v>
      </c>
      <c r="C96" s="67">
        <v>0.79800000000000004</v>
      </c>
      <c r="D96" s="96"/>
      <c r="E96" s="72">
        <v>14216.509110000001</v>
      </c>
      <c r="F96" s="72">
        <f>E96*0.95</f>
        <v>13505.683654500001</v>
      </c>
      <c r="G96" s="72">
        <f>E96-F96</f>
        <v>710.82545550000032</v>
      </c>
      <c r="H96" s="124"/>
      <c r="I96" s="124"/>
      <c r="J96" s="124"/>
      <c r="K96" s="124"/>
      <c r="L96" s="124"/>
      <c r="M96" s="124"/>
      <c r="N96" s="124"/>
      <c r="O96" s="124"/>
      <c r="P96" s="124"/>
      <c r="Q96" s="125"/>
      <c r="R96" s="126"/>
      <c r="S96" s="126"/>
      <c r="T96" s="124"/>
      <c r="U96" s="127"/>
      <c r="V96" s="52"/>
      <c r="W96" s="11"/>
      <c r="X96" s="11"/>
      <c r="Y96" s="11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pans="1:44" s="16" customFormat="1" ht="27" customHeight="1">
      <c r="A97" s="123"/>
      <c r="B97" s="58" t="s">
        <v>92</v>
      </c>
      <c r="C97" s="59">
        <f>SUM(C99:C101)</f>
        <v>2.5720000000000001</v>
      </c>
      <c r="D97" s="56"/>
      <c r="E97" s="59">
        <f>SUM(E99:E101)</f>
        <v>20382.600000000002</v>
      </c>
      <c r="F97" s="59">
        <f>SUM(F99:F101)</f>
        <v>19363.5</v>
      </c>
      <c r="G97" s="59">
        <f>SUM(G99:G101)</f>
        <v>1019.1000000000008</v>
      </c>
      <c r="H97" s="59">
        <f>H104</f>
        <v>1.087</v>
      </c>
      <c r="I97" s="59"/>
      <c r="J97" s="59">
        <f>J104</f>
        <v>9811.7000000000007</v>
      </c>
      <c r="K97" s="59">
        <f>K104</f>
        <v>9321.1</v>
      </c>
      <c r="L97" s="59">
        <f>L104</f>
        <v>490.60000000000036</v>
      </c>
      <c r="M97" s="59">
        <f>M102</f>
        <v>7.12</v>
      </c>
      <c r="N97" s="59"/>
      <c r="O97" s="59">
        <f>O102</f>
        <v>72857.3</v>
      </c>
      <c r="P97" s="59">
        <f>P102</f>
        <v>69214.399999999994</v>
      </c>
      <c r="Q97" s="61">
        <f>Q102</f>
        <v>3642.9000000000087</v>
      </c>
      <c r="R97" s="62" t="e">
        <f>#REF!+#REF!</f>
        <v>#REF!</v>
      </c>
      <c r="S97" s="62"/>
      <c r="T97" s="59" t="e">
        <f>#REF!+#REF!</f>
        <v>#REF!</v>
      </c>
      <c r="U97" s="60" t="e">
        <f>#REF!+#REF!</f>
        <v>#REF!</v>
      </c>
      <c r="V97" s="61" t="e">
        <f>#REF!+#REF!</f>
        <v>#REF!</v>
      </c>
      <c r="W97" s="11"/>
      <c r="X97" s="11"/>
      <c r="Y97" s="11"/>
      <c r="Z97" s="4" t="s">
        <v>93</v>
      </c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pans="1:44" s="16" customFormat="1" ht="26.25" customHeight="1">
      <c r="A98" s="123"/>
      <c r="B98" s="66" t="s">
        <v>55</v>
      </c>
      <c r="C98" s="59"/>
      <c r="D98" s="56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61"/>
      <c r="R98" s="62"/>
      <c r="S98" s="62"/>
      <c r="T98" s="59"/>
      <c r="U98" s="60"/>
      <c r="V98" s="61"/>
      <c r="W98" s="11"/>
      <c r="X98" s="11"/>
      <c r="Y98" s="11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pans="1:44" s="16" customFormat="1" ht="24" customHeight="1">
      <c r="A99" s="65">
        <v>60</v>
      </c>
      <c r="B99" s="66" t="s">
        <v>94</v>
      </c>
      <c r="C99" s="67">
        <v>1.76</v>
      </c>
      <c r="D99" s="56"/>
      <c r="E99" s="72">
        <v>7523.3721500000001</v>
      </c>
      <c r="F99" s="72">
        <f>E99*0.95</f>
        <v>7147.2035424999995</v>
      </c>
      <c r="G99" s="72">
        <f>E99-F99</f>
        <v>376.16860750000069</v>
      </c>
      <c r="H99" s="59"/>
      <c r="I99" s="59"/>
      <c r="J99" s="59"/>
      <c r="K99" s="59"/>
      <c r="L99" s="59"/>
      <c r="M99" s="59"/>
      <c r="N99" s="59"/>
      <c r="O99" s="59"/>
      <c r="P99" s="59"/>
      <c r="Q99" s="61"/>
      <c r="R99" s="62"/>
      <c r="S99" s="62"/>
      <c r="T99" s="59"/>
      <c r="U99" s="60"/>
      <c r="V99" s="61"/>
      <c r="W99" s="11"/>
      <c r="X99" s="11"/>
      <c r="Y99" s="11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pans="1:44" s="13" customFormat="1" ht="26.25" customHeight="1">
      <c r="A100" s="65">
        <v>61</v>
      </c>
      <c r="B100" s="66" t="s">
        <v>95</v>
      </c>
      <c r="C100" s="67">
        <v>0.59699999999999998</v>
      </c>
      <c r="D100" s="96"/>
      <c r="E100" s="72">
        <v>9970.74</v>
      </c>
      <c r="F100" s="72">
        <f>E100*0.95</f>
        <v>9472.2029999999995</v>
      </c>
      <c r="G100" s="72">
        <f>E100-F100</f>
        <v>498.53700000000026</v>
      </c>
      <c r="H100" s="97"/>
      <c r="I100" s="97"/>
      <c r="J100" s="97"/>
      <c r="K100" s="97"/>
      <c r="L100" s="97"/>
      <c r="M100" s="97"/>
      <c r="N100" s="97"/>
      <c r="O100" s="97"/>
      <c r="P100" s="97"/>
      <c r="Q100" s="98"/>
      <c r="R100" s="79"/>
      <c r="S100" s="79"/>
      <c r="T100" s="128"/>
      <c r="U100" s="129"/>
      <c r="V100" s="130"/>
      <c r="W100" s="11"/>
      <c r="X100" s="11"/>
      <c r="Y100" s="11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pans="1:44" s="13" customFormat="1" ht="26.25" customHeight="1">
      <c r="A101" s="65">
        <v>62</v>
      </c>
      <c r="B101" s="66" t="s">
        <v>96</v>
      </c>
      <c r="C101" s="67">
        <v>0.215</v>
      </c>
      <c r="D101" s="96"/>
      <c r="E101" s="72">
        <v>2888.48785</v>
      </c>
      <c r="F101" s="72">
        <v>2744.0934575000001</v>
      </c>
      <c r="G101" s="72">
        <f>E101-F101</f>
        <v>144.39439249999987</v>
      </c>
      <c r="H101" s="97"/>
      <c r="I101" s="97"/>
      <c r="J101" s="97"/>
      <c r="K101" s="97"/>
      <c r="L101" s="97"/>
      <c r="M101" s="131"/>
      <c r="N101" s="131"/>
      <c r="O101" s="131"/>
      <c r="P101" s="97"/>
      <c r="Q101" s="98"/>
      <c r="R101" s="79"/>
      <c r="S101" s="79"/>
      <c r="T101" s="128"/>
      <c r="U101" s="129"/>
      <c r="V101" s="130"/>
      <c r="W101" s="11"/>
      <c r="X101" s="11"/>
      <c r="Y101" s="11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:44" s="13" customFormat="1" ht="26.25" customHeight="1">
      <c r="A102" s="65">
        <v>63</v>
      </c>
      <c r="B102" s="66" t="s">
        <v>97</v>
      </c>
      <c r="C102" s="67"/>
      <c r="D102" s="96"/>
      <c r="E102" s="72"/>
      <c r="F102" s="72"/>
      <c r="G102" s="72"/>
      <c r="H102" s="97"/>
      <c r="I102" s="97"/>
      <c r="J102" s="97"/>
      <c r="K102" s="97"/>
      <c r="L102" s="97"/>
      <c r="M102" s="67">
        <v>7.12</v>
      </c>
      <c r="N102" s="96"/>
      <c r="O102" s="72">
        <v>72857.3</v>
      </c>
      <c r="P102" s="72">
        <f>O102*0.95-0.035</f>
        <v>69214.399999999994</v>
      </c>
      <c r="Q102" s="132">
        <f>O102-P102</f>
        <v>3642.9000000000087</v>
      </c>
      <c r="R102" s="79"/>
      <c r="S102" s="79"/>
      <c r="T102" s="128"/>
      <c r="U102" s="129"/>
      <c r="V102" s="130"/>
      <c r="W102" s="11"/>
      <c r="X102" s="11"/>
      <c r="Y102" s="11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pans="1:44" s="13" customFormat="1" ht="44.25" customHeight="1">
      <c r="A103" s="65"/>
      <c r="B103" s="110" t="s">
        <v>78</v>
      </c>
      <c r="C103" s="67"/>
      <c r="D103" s="96"/>
      <c r="E103" s="72"/>
      <c r="F103" s="72"/>
      <c r="G103" s="72"/>
      <c r="H103" s="97"/>
      <c r="I103" s="97"/>
      <c r="J103" s="97"/>
      <c r="K103" s="97"/>
      <c r="L103" s="97"/>
      <c r="M103" s="97"/>
      <c r="N103" s="97"/>
      <c r="O103" s="97"/>
      <c r="P103" s="97"/>
      <c r="Q103" s="98"/>
      <c r="R103" s="79"/>
      <c r="S103" s="79"/>
      <c r="T103" s="128"/>
      <c r="U103" s="129"/>
      <c r="V103" s="130"/>
      <c r="W103" s="11"/>
      <c r="X103" s="11"/>
      <c r="Y103" s="11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pans="1:44" s="13" customFormat="1" ht="41.25" customHeight="1">
      <c r="A104" s="65">
        <v>64</v>
      </c>
      <c r="B104" s="66" t="s">
        <v>98</v>
      </c>
      <c r="C104" s="67"/>
      <c r="D104" s="96"/>
      <c r="E104" s="72"/>
      <c r="F104" s="72"/>
      <c r="G104" s="72"/>
      <c r="H104" s="183">
        <v>1.087</v>
      </c>
      <c r="I104" s="59"/>
      <c r="J104" s="69">
        <v>9811.7000000000007</v>
      </c>
      <c r="K104" s="69">
        <v>9321.1</v>
      </c>
      <c r="L104" s="69">
        <f>J104-K104</f>
        <v>490.60000000000036</v>
      </c>
      <c r="M104" s="97"/>
      <c r="N104" s="97"/>
      <c r="O104" s="97"/>
      <c r="P104" s="97"/>
      <c r="Q104" s="98"/>
      <c r="R104" s="79"/>
      <c r="S104" s="79"/>
      <c r="T104" s="128"/>
      <c r="U104" s="129"/>
      <c r="V104" s="130"/>
      <c r="W104" s="11"/>
      <c r="X104" s="11"/>
      <c r="Y104" s="11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pans="1:44" s="16" customFormat="1" ht="33" customHeight="1">
      <c r="A105" s="123"/>
      <c r="B105" s="58" t="s">
        <v>99</v>
      </c>
      <c r="C105" s="59">
        <f>C106</f>
        <v>4.0289999999999999</v>
      </c>
      <c r="D105" s="56"/>
      <c r="E105" s="59">
        <f>E106</f>
        <v>40000</v>
      </c>
      <c r="F105" s="59">
        <f>F106</f>
        <v>38000</v>
      </c>
      <c r="G105" s="59">
        <f>G106</f>
        <v>2000</v>
      </c>
      <c r="H105" s="133"/>
      <c r="I105" s="134"/>
      <c r="J105" s="134"/>
      <c r="K105" s="134"/>
      <c r="L105" s="134"/>
      <c r="M105" s="134">
        <f>SUM(M111:M114)</f>
        <v>7.298</v>
      </c>
      <c r="N105" s="134"/>
      <c r="O105" s="134">
        <f>SUM(O111:O114)</f>
        <v>91189.8</v>
      </c>
      <c r="P105" s="134">
        <f>SUM(P111:P114)</f>
        <v>86630.299999999988</v>
      </c>
      <c r="Q105" s="138">
        <f>SUM(Q111:Q114)</f>
        <v>4559.5000000000055</v>
      </c>
      <c r="R105" s="62" t="e">
        <f>#REF!</f>
        <v>#REF!</v>
      </c>
      <c r="S105" s="59"/>
      <c r="T105" s="59" t="e">
        <f>#REF!</f>
        <v>#REF!</v>
      </c>
      <c r="U105" s="59" t="e">
        <f>#REF!</f>
        <v>#REF!</v>
      </c>
      <c r="V105" s="61" t="e">
        <f>#REF!</f>
        <v>#REF!</v>
      </c>
      <c r="W105" s="135"/>
      <c r="X105" s="11" t="s">
        <v>36</v>
      </c>
      <c r="Y105" s="11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</row>
    <row r="106" spans="1:44" ht="24" customHeight="1">
      <c r="A106" s="65"/>
      <c r="B106" s="80" t="s">
        <v>55</v>
      </c>
      <c r="C106" s="67">
        <f>SUM(C107:C110)</f>
        <v>4.0289999999999999</v>
      </c>
      <c r="D106" s="96"/>
      <c r="E106" s="72">
        <v>40000</v>
      </c>
      <c r="F106" s="72">
        <v>38000</v>
      </c>
      <c r="G106" s="72">
        <v>2000</v>
      </c>
      <c r="H106" s="97"/>
      <c r="I106" s="97"/>
      <c r="J106" s="97"/>
      <c r="K106" s="97"/>
      <c r="L106" s="97"/>
      <c r="M106" s="97"/>
      <c r="N106" s="97"/>
      <c r="O106" s="97"/>
      <c r="P106" s="97"/>
      <c r="Q106" s="98"/>
      <c r="R106" s="136"/>
      <c r="S106" s="97"/>
      <c r="T106" s="97"/>
      <c r="U106" s="99"/>
      <c r="V106" s="52"/>
      <c r="W106" s="11"/>
      <c r="X106" s="11"/>
      <c r="Y106" s="11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</row>
    <row r="107" spans="1:44" ht="25.5" customHeight="1">
      <c r="A107" s="65">
        <v>65</v>
      </c>
      <c r="B107" s="80" t="s">
        <v>100</v>
      </c>
      <c r="C107" s="67">
        <v>0.53</v>
      </c>
      <c r="D107" s="96"/>
      <c r="E107" s="137">
        <v>4722.0600000000004</v>
      </c>
      <c r="F107" s="72">
        <f>E107*0.95</f>
        <v>4485.9570000000003</v>
      </c>
      <c r="G107" s="72">
        <f>E107-F107</f>
        <v>236.10300000000007</v>
      </c>
      <c r="H107" s="97"/>
      <c r="I107" s="97"/>
      <c r="J107" s="97"/>
      <c r="K107" s="97"/>
      <c r="L107" s="97"/>
      <c r="M107" s="97"/>
      <c r="N107" s="97"/>
      <c r="O107" s="97"/>
      <c r="P107" s="97"/>
      <c r="Q107" s="98"/>
      <c r="R107" s="136"/>
      <c r="S107" s="79"/>
      <c r="T107" s="97"/>
      <c r="U107" s="99"/>
      <c r="V107" s="52"/>
      <c r="W107" s="11"/>
      <c r="X107" s="11"/>
      <c r="Y107" s="11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</row>
    <row r="108" spans="1:44" ht="27.75" customHeight="1">
      <c r="A108" s="65">
        <v>66</v>
      </c>
      <c r="B108" s="80" t="s">
        <v>101</v>
      </c>
      <c r="C108" s="67">
        <v>1.085</v>
      </c>
      <c r="D108" s="96"/>
      <c r="E108" s="137">
        <v>12138.918</v>
      </c>
      <c r="F108" s="72">
        <f>E108*0.95</f>
        <v>11531.972099999999</v>
      </c>
      <c r="G108" s="72">
        <f>E108-F108</f>
        <v>606.94590000000062</v>
      </c>
      <c r="H108" s="97"/>
      <c r="I108" s="97"/>
      <c r="J108" s="97"/>
      <c r="K108" s="97"/>
      <c r="L108" s="97"/>
      <c r="M108" s="97"/>
      <c r="N108" s="97"/>
      <c r="O108" s="97"/>
      <c r="P108" s="97"/>
      <c r="Q108" s="98"/>
      <c r="R108" s="136"/>
      <c r="S108" s="79"/>
      <c r="T108" s="97"/>
      <c r="U108" s="99"/>
      <c r="V108" s="52"/>
      <c r="W108" s="11"/>
      <c r="X108" s="11"/>
      <c r="Y108" s="11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</row>
    <row r="109" spans="1:44" ht="21.75" customHeight="1">
      <c r="A109" s="65">
        <v>67</v>
      </c>
      <c r="B109" s="80" t="s">
        <v>102</v>
      </c>
      <c r="C109" s="67">
        <v>0.95399999999999996</v>
      </c>
      <c r="D109" s="96"/>
      <c r="E109" s="137">
        <v>8785.0959999999995</v>
      </c>
      <c r="F109" s="72">
        <f>E109*0.95</f>
        <v>8345.8411999999989</v>
      </c>
      <c r="G109" s="72">
        <f>E109-F109</f>
        <v>439.25480000000061</v>
      </c>
      <c r="H109" s="97"/>
      <c r="I109" s="97"/>
      <c r="J109" s="97"/>
      <c r="K109" s="97"/>
      <c r="L109" s="97"/>
      <c r="M109" s="97"/>
      <c r="N109" s="97"/>
      <c r="O109" s="97"/>
      <c r="P109" s="97"/>
      <c r="Q109" s="98"/>
      <c r="R109" s="136"/>
      <c r="S109" s="79"/>
      <c r="T109" s="97"/>
      <c r="U109" s="99"/>
      <c r="V109" s="52"/>
      <c r="W109" s="11"/>
      <c r="X109" s="11"/>
      <c r="Y109" s="11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</row>
    <row r="110" spans="1:44" ht="27.75" customHeight="1">
      <c r="A110" s="65">
        <v>68</v>
      </c>
      <c r="B110" s="80" t="s">
        <v>103</v>
      </c>
      <c r="C110" s="67">
        <v>1.46</v>
      </c>
      <c r="D110" s="96"/>
      <c r="E110" s="137">
        <v>14353.925999999999</v>
      </c>
      <c r="F110" s="72">
        <f>E110*0.95</f>
        <v>13636.229699999998</v>
      </c>
      <c r="G110" s="72">
        <f>E110-F110</f>
        <v>717.69630000000143</v>
      </c>
      <c r="H110" s="97"/>
      <c r="I110" s="97"/>
      <c r="J110" s="97"/>
      <c r="K110" s="97"/>
      <c r="L110" s="97"/>
      <c r="M110" s="97"/>
      <c r="N110" s="97"/>
      <c r="O110" s="97"/>
      <c r="P110" s="97"/>
      <c r="Q110" s="98"/>
      <c r="R110" s="136"/>
      <c r="S110" s="79"/>
      <c r="T110" s="97"/>
      <c r="U110" s="99"/>
      <c r="V110" s="52"/>
      <c r="W110" s="11"/>
      <c r="X110" s="11"/>
      <c r="Y110" s="11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</row>
    <row r="111" spans="1:44" ht="48.75" customHeight="1">
      <c r="A111" s="65">
        <v>69</v>
      </c>
      <c r="B111" s="80" t="s">
        <v>104</v>
      </c>
      <c r="C111" s="67"/>
      <c r="D111" s="96"/>
      <c r="E111" s="137"/>
      <c r="F111" s="72"/>
      <c r="G111" s="72"/>
      <c r="H111" s="97"/>
      <c r="I111" s="97"/>
      <c r="J111" s="97"/>
      <c r="K111" s="97"/>
      <c r="L111" s="97"/>
      <c r="M111" s="67">
        <v>1.0169999999999999</v>
      </c>
      <c r="N111" s="96"/>
      <c r="O111" s="72">
        <v>10878.19</v>
      </c>
      <c r="P111" s="72">
        <f>O111*0.95</f>
        <v>10334.280500000001</v>
      </c>
      <c r="Q111" s="132">
        <f>O111-P111</f>
        <v>543.90949999999975</v>
      </c>
      <c r="R111" s="136"/>
      <c r="S111" s="79"/>
      <c r="T111" s="97"/>
      <c r="U111" s="99"/>
      <c r="V111" s="52"/>
      <c r="W111" s="11"/>
      <c r="X111" s="11"/>
      <c r="Y111" s="11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</row>
    <row r="112" spans="1:44" ht="24" customHeight="1">
      <c r="A112" s="65">
        <v>70</v>
      </c>
      <c r="B112" s="80" t="s">
        <v>224</v>
      </c>
      <c r="C112" s="67"/>
      <c r="D112" s="96"/>
      <c r="E112" s="137"/>
      <c r="F112" s="72"/>
      <c r="G112" s="72"/>
      <c r="H112" s="97"/>
      <c r="I112" s="97"/>
      <c r="J112" s="97"/>
      <c r="K112" s="97"/>
      <c r="L112" s="97"/>
      <c r="M112" s="67">
        <v>2.395</v>
      </c>
      <c r="N112" s="96"/>
      <c r="O112" s="72">
        <v>22472.47</v>
      </c>
      <c r="P112" s="72">
        <f>O112*0.95</f>
        <v>21348.8465</v>
      </c>
      <c r="Q112" s="132">
        <f>O112-P112</f>
        <v>1123.6235000000015</v>
      </c>
      <c r="R112" s="136"/>
      <c r="S112" s="79"/>
      <c r="T112" s="97"/>
      <c r="U112" s="99"/>
      <c r="V112" s="52"/>
      <c r="W112" s="11"/>
      <c r="X112" s="11"/>
      <c r="Y112" s="11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</row>
    <row r="113" spans="1:42" ht="24" customHeight="1">
      <c r="A113" s="65">
        <v>71</v>
      </c>
      <c r="B113" s="80" t="s">
        <v>223</v>
      </c>
      <c r="C113" s="67"/>
      <c r="D113" s="96"/>
      <c r="E113" s="137"/>
      <c r="F113" s="72"/>
      <c r="G113" s="72"/>
      <c r="H113" s="97"/>
      <c r="I113" s="97"/>
      <c r="J113" s="97"/>
      <c r="K113" s="97"/>
      <c r="L113" s="97"/>
      <c r="M113" s="67">
        <v>2.4390000000000001</v>
      </c>
      <c r="N113" s="96"/>
      <c r="O113" s="72">
        <v>26581.360000000001</v>
      </c>
      <c r="P113" s="72">
        <f>O113*0.95</f>
        <v>25252.291999999998</v>
      </c>
      <c r="Q113" s="132">
        <f>O113-P113</f>
        <v>1329.0680000000029</v>
      </c>
      <c r="R113" s="136"/>
      <c r="S113" s="79"/>
      <c r="T113" s="97"/>
      <c r="U113" s="99"/>
      <c r="V113" s="52"/>
      <c r="W113" s="11"/>
      <c r="X113" s="11"/>
      <c r="Y113" s="11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</row>
    <row r="114" spans="1:42" ht="24" customHeight="1">
      <c r="A114" s="65">
        <v>72</v>
      </c>
      <c r="B114" s="80" t="s">
        <v>105</v>
      </c>
      <c r="C114" s="67"/>
      <c r="D114" s="96"/>
      <c r="E114" s="137"/>
      <c r="F114" s="72"/>
      <c r="G114" s="72"/>
      <c r="H114" s="97"/>
      <c r="I114" s="97"/>
      <c r="J114" s="97"/>
      <c r="K114" s="97"/>
      <c r="L114" s="97"/>
      <c r="M114" s="67">
        <v>1.4470000000000001</v>
      </c>
      <c r="N114" s="97"/>
      <c r="O114" s="72">
        <v>31257.78</v>
      </c>
      <c r="P114" s="72">
        <f>O114*0.95-0.01</f>
        <v>29694.880999999998</v>
      </c>
      <c r="Q114" s="132">
        <f>O114-P114</f>
        <v>1562.8990000000013</v>
      </c>
      <c r="R114" s="136"/>
      <c r="S114" s="79"/>
      <c r="T114" s="97"/>
      <c r="U114" s="99"/>
      <c r="V114" s="52"/>
      <c r="W114" s="11"/>
      <c r="X114" s="11"/>
      <c r="Y114" s="11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</row>
    <row r="115" spans="1:42" ht="28.5" customHeight="1">
      <c r="A115" s="65"/>
      <c r="B115" s="58" t="s">
        <v>106</v>
      </c>
      <c r="C115" s="59">
        <f>SUM(C117:C140)</f>
        <v>0.94199999999999995</v>
      </c>
      <c r="D115" s="56"/>
      <c r="E115" s="59">
        <f>SUM(E117:E140)</f>
        <v>43385</v>
      </c>
      <c r="F115" s="59">
        <f>SUM(F117:F140)</f>
        <v>41215.699999999997</v>
      </c>
      <c r="G115" s="59">
        <f>SUM(G117:G140)</f>
        <v>2169.2999999999993</v>
      </c>
      <c r="H115" s="59">
        <f>SUM(H118:H140)</f>
        <v>19.798999999999999</v>
      </c>
      <c r="I115" s="134"/>
      <c r="J115" s="59">
        <f>SUM(J118:J140)</f>
        <v>196842.1</v>
      </c>
      <c r="K115" s="59">
        <f>SUM(K118:K140)</f>
        <v>187000</v>
      </c>
      <c r="L115" s="59">
        <f>SUM(L118:L140)</f>
        <v>9842.1000000000058</v>
      </c>
      <c r="M115" s="134"/>
      <c r="N115" s="134"/>
      <c r="O115" s="134"/>
      <c r="P115" s="134"/>
      <c r="Q115" s="138"/>
      <c r="R115" s="62" t="e">
        <f>#REF!</f>
        <v>#REF!</v>
      </c>
      <c r="S115" s="62"/>
      <c r="T115" s="59" t="e">
        <f>#REF!</f>
        <v>#REF!</v>
      </c>
      <c r="U115" s="60" t="e">
        <f>#REF!</f>
        <v>#REF!</v>
      </c>
      <c r="V115" s="61" t="e">
        <f>#REF!</f>
        <v>#REF!</v>
      </c>
      <c r="W115" s="11"/>
      <c r="X115" s="11"/>
      <c r="Y115" s="11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</row>
    <row r="116" spans="1:42" ht="29.25" customHeight="1">
      <c r="A116" s="65"/>
      <c r="B116" s="80" t="s">
        <v>55</v>
      </c>
      <c r="C116" s="67">
        <f>C115</f>
        <v>0.94199999999999995</v>
      </c>
      <c r="D116" s="96"/>
      <c r="E116" s="72">
        <f>E115</f>
        <v>43385</v>
      </c>
      <c r="F116" s="72">
        <f>F115</f>
        <v>41215.699999999997</v>
      </c>
      <c r="G116" s="72">
        <f>G115</f>
        <v>2169.2999999999993</v>
      </c>
      <c r="H116" s="67">
        <f>H115</f>
        <v>19.798999999999999</v>
      </c>
      <c r="I116" s="96"/>
      <c r="J116" s="72">
        <f>J115</f>
        <v>196842.1</v>
      </c>
      <c r="K116" s="72">
        <f>K115</f>
        <v>187000</v>
      </c>
      <c r="L116" s="72">
        <f>L115</f>
        <v>9842.1000000000058</v>
      </c>
      <c r="M116" s="97"/>
      <c r="N116" s="97"/>
      <c r="O116" s="97"/>
      <c r="P116" s="97"/>
      <c r="Q116" s="98"/>
      <c r="R116" s="136"/>
      <c r="S116" s="97"/>
      <c r="T116" s="97"/>
      <c r="U116" s="99"/>
      <c r="V116" s="52"/>
      <c r="W116" s="11"/>
      <c r="X116" s="11"/>
      <c r="Y116" s="11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</row>
    <row r="117" spans="1:42" ht="26.1" customHeight="1">
      <c r="A117" s="65">
        <v>73</v>
      </c>
      <c r="B117" s="66" t="s">
        <v>107</v>
      </c>
      <c r="C117" s="67">
        <v>0.94199999999999995</v>
      </c>
      <c r="D117" s="68"/>
      <c r="E117" s="69">
        <v>11806</v>
      </c>
      <c r="F117" s="69">
        <v>11215.7</v>
      </c>
      <c r="G117" s="69">
        <f>E117-F117</f>
        <v>590.29999999999927</v>
      </c>
      <c r="H117" s="139"/>
      <c r="I117" s="140"/>
      <c r="J117" s="140"/>
      <c r="K117" s="140"/>
      <c r="L117" s="140"/>
      <c r="M117" s="140"/>
      <c r="N117" s="140"/>
      <c r="O117" s="140"/>
      <c r="P117" s="140"/>
      <c r="Q117" s="141"/>
      <c r="R117" s="104"/>
      <c r="S117" s="104"/>
      <c r="T117" s="77"/>
      <c r="U117" s="105"/>
      <c r="V117" s="52"/>
      <c r="W117" s="11"/>
      <c r="X117" s="11"/>
      <c r="Y117" s="11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</row>
    <row r="118" spans="1:42" ht="26.1" customHeight="1">
      <c r="A118" s="65">
        <v>74</v>
      </c>
      <c r="B118" s="66" t="s">
        <v>108</v>
      </c>
      <c r="C118" s="67"/>
      <c r="D118" s="68"/>
      <c r="E118" s="69"/>
      <c r="F118" s="69"/>
      <c r="G118" s="69"/>
      <c r="H118" s="184">
        <v>0.63</v>
      </c>
      <c r="I118" s="192"/>
      <c r="J118" s="192">
        <v>13029.3</v>
      </c>
      <c r="K118" s="192">
        <v>12377.84</v>
      </c>
      <c r="L118" s="192">
        <f t="shared" ref="L118:L132" si="11">J118-K118</f>
        <v>651.45999999999913</v>
      </c>
      <c r="M118" s="140"/>
      <c r="N118" s="140"/>
      <c r="O118" s="140"/>
      <c r="P118" s="140"/>
      <c r="Q118" s="141"/>
      <c r="R118" s="143"/>
      <c r="S118" s="104"/>
      <c r="T118" s="77"/>
      <c r="U118" s="105"/>
      <c r="V118" s="52"/>
      <c r="W118" s="11"/>
      <c r="X118" s="11"/>
      <c r="Y118" s="11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</row>
    <row r="119" spans="1:42" ht="26.1" customHeight="1">
      <c r="A119" s="65">
        <v>75</v>
      </c>
      <c r="B119" s="66" t="s">
        <v>225</v>
      </c>
      <c r="C119" s="67"/>
      <c r="D119" s="68"/>
      <c r="E119" s="69"/>
      <c r="F119" s="69"/>
      <c r="G119" s="69"/>
      <c r="H119" s="184">
        <v>0.29499999999999998</v>
      </c>
      <c r="I119" s="192"/>
      <c r="J119" s="192">
        <v>4116.42</v>
      </c>
      <c r="K119" s="192">
        <v>3910.5990000000002</v>
      </c>
      <c r="L119" s="192">
        <f t="shared" si="11"/>
        <v>205.82099999999991</v>
      </c>
      <c r="M119" s="140"/>
      <c r="N119" s="140"/>
      <c r="O119" s="140"/>
      <c r="P119" s="140"/>
      <c r="Q119" s="141"/>
      <c r="R119" s="143"/>
      <c r="S119" s="104"/>
      <c r="T119" s="77"/>
      <c r="U119" s="105"/>
      <c r="V119" s="52"/>
      <c r="W119" s="11"/>
      <c r="X119" s="11"/>
      <c r="Y119" s="11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</row>
    <row r="120" spans="1:42" ht="26.1" customHeight="1">
      <c r="A120" s="65">
        <v>76</v>
      </c>
      <c r="B120" s="66" t="s">
        <v>109</v>
      </c>
      <c r="C120" s="67"/>
      <c r="D120" s="68"/>
      <c r="E120" s="69"/>
      <c r="F120" s="69"/>
      <c r="G120" s="69"/>
      <c r="H120" s="184">
        <v>0.56000000000000005</v>
      </c>
      <c r="I120" s="192"/>
      <c r="J120" s="192">
        <v>4266.7570500000002</v>
      </c>
      <c r="K120" s="192">
        <v>4053.4191999999998</v>
      </c>
      <c r="L120" s="192">
        <f t="shared" si="11"/>
        <v>213.33785000000034</v>
      </c>
      <c r="M120" s="140"/>
      <c r="N120" s="140"/>
      <c r="O120" s="140"/>
      <c r="P120" s="140"/>
      <c r="Q120" s="141"/>
      <c r="R120" s="143"/>
      <c r="S120" s="104"/>
      <c r="T120" s="77"/>
      <c r="U120" s="105"/>
      <c r="V120" s="52"/>
      <c r="W120" s="11"/>
      <c r="X120" s="11"/>
      <c r="Y120" s="11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</row>
    <row r="121" spans="1:42" ht="26.1" customHeight="1">
      <c r="A121" s="65">
        <v>77</v>
      </c>
      <c r="B121" s="66" t="s">
        <v>226</v>
      </c>
      <c r="C121" s="67"/>
      <c r="D121" s="68"/>
      <c r="E121" s="69"/>
      <c r="F121" s="69"/>
      <c r="G121" s="69"/>
      <c r="H121" s="184">
        <v>2.48</v>
      </c>
      <c r="I121" s="192"/>
      <c r="J121" s="192">
        <v>22576.89</v>
      </c>
      <c r="K121" s="192">
        <v>21448.0455</v>
      </c>
      <c r="L121" s="192">
        <f t="shared" si="11"/>
        <v>1128.8444999999992</v>
      </c>
      <c r="M121" s="140"/>
      <c r="N121" s="140"/>
      <c r="O121" s="140"/>
      <c r="P121" s="140"/>
      <c r="Q121" s="141"/>
      <c r="R121" s="143"/>
      <c r="S121" s="104"/>
      <c r="T121" s="77"/>
      <c r="U121" s="105"/>
      <c r="V121" s="52"/>
      <c r="W121" s="11"/>
      <c r="X121" s="11"/>
      <c r="Y121" s="11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</row>
    <row r="122" spans="1:42" ht="26.1" customHeight="1">
      <c r="A122" s="65">
        <v>78</v>
      </c>
      <c r="B122" s="66" t="s">
        <v>227</v>
      </c>
      <c r="C122" s="67"/>
      <c r="D122" s="68"/>
      <c r="E122" s="69"/>
      <c r="F122" s="69"/>
      <c r="G122" s="69"/>
      <c r="H122" s="184">
        <v>0.55000000000000004</v>
      </c>
      <c r="I122" s="192"/>
      <c r="J122" s="192">
        <v>4980.22</v>
      </c>
      <c r="K122" s="192">
        <v>4731.2089999999998</v>
      </c>
      <c r="L122" s="192">
        <f t="shared" si="11"/>
        <v>249.01100000000042</v>
      </c>
      <c r="M122" s="140"/>
      <c r="N122" s="140"/>
      <c r="O122" s="140"/>
      <c r="P122" s="140"/>
      <c r="Q122" s="141"/>
      <c r="R122" s="143"/>
      <c r="S122" s="104"/>
      <c r="T122" s="77"/>
      <c r="U122" s="105"/>
      <c r="V122" s="52"/>
      <c r="W122" s="11"/>
      <c r="X122" s="11"/>
      <c r="Y122" s="11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</row>
    <row r="123" spans="1:42" ht="26.1" customHeight="1">
      <c r="A123" s="65">
        <v>79</v>
      </c>
      <c r="B123" s="66" t="s">
        <v>110</v>
      </c>
      <c r="C123" s="67"/>
      <c r="D123" s="68"/>
      <c r="E123" s="69">
        <v>31579</v>
      </c>
      <c r="F123" s="69">
        <v>30000</v>
      </c>
      <c r="G123" s="69">
        <f>E123-F123</f>
        <v>1579</v>
      </c>
      <c r="H123" s="184">
        <v>1.4850000000000001</v>
      </c>
      <c r="I123" s="192"/>
      <c r="J123" s="192">
        <v>6733.9</v>
      </c>
      <c r="K123" s="192">
        <v>6397.2049999999999</v>
      </c>
      <c r="L123" s="192">
        <f t="shared" si="11"/>
        <v>336.69499999999971</v>
      </c>
      <c r="M123" s="140"/>
      <c r="N123" s="140"/>
      <c r="O123" s="140"/>
      <c r="P123" s="140"/>
      <c r="Q123" s="141"/>
      <c r="R123" s="143"/>
      <c r="S123" s="104"/>
      <c r="T123" s="77"/>
      <c r="U123" s="105"/>
      <c r="V123" s="52"/>
      <c r="W123" s="11"/>
      <c r="X123" s="11"/>
      <c r="Y123" s="11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</row>
    <row r="124" spans="1:42" ht="26.1" customHeight="1">
      <c r="A124" s="65">
        <v>80</v>
      </c>
      <c r="B124" s="66" t="s">
        <v>111</v>
      </c>
      <c r="C124" s="67"/>
      <c r="D124" s="68"/>
      <c r="E124" s="69"/>
      <c r="F124" s="69"/>
      <c r="G124" s="69"/>
      <c r="H124" s="184">
        <v>0.94499999999999995</v>
      </c>
      <c r="I124" s="192"/>
      <c r="J124" s="192">
        <v>16761.8</v>
      </c>
      <c r="K124" s="192">
        <v>15923.71</v>
      </c>
      <c r="L124" s="192">
        <f t="shared" si="11"/>
        <v>838.09000000000015</v>
      </c>
      <c r="M124" s="140"/>
      <c r="N124" s="140"/>
      <c r="O124" s="140"/>
      <c r="P124" s="140"/>
      <c r="Q124" s="141"/>
      <c r="R124" s="143"/>
      <c r="S124" s="104"/>
      <c r="T124" s="77"/>
      <c r="U124" s="105"/>
      <c r="V124" s="52"/>
      <c r="W124" s="11"/>
      <c r="X124" s="11"/>
      <c r="Y124" s="11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</row>
    <row r="125" spans="1:42" ht="26.1" customHeight="1">
      <c r="A125" s="65">
        <v>81</v>
      </c>
      <c r="B125" s="66" t="s">
        <v>112</v>
      </c>
      <c r="C125" s="67"/>
      <c r="D125" s="68"/>
      <c r="E125" s="69"/>
      <c r="F125" s="69"/>
      <c r="G125" s="69"/>
      <c r="H125" s="184">
        <v>0.56999999999999995</v>
      </c>
      <c r="I125" s="192"/>
      <c r="J125" s="192">
        <v>7912.8077999999996</v>
      </c>
      <c r="K125" s="192">
        <v>7517.16741</v>
      </c>
      <c r="L125" s="192">
        <f t="shared" si="11"/>
        <v>395.64038999999957</v>
      </c>
      <c r="M125" s="140"/>
      <c r="N125" s="140"/>
      <c r="O125" s="140"/>
      <c r="P125" s="140"/>
      <c r="Q125" s="141"/>
      <c r="R125" s="143"/>
      <c r="S125" s="104"/>
      <c r="T125" s="77"/>
      <c r="U125" s="105"/>
      <c r="V125" s="52"/>
      <c r="W125" s="11"/>
      <c r="X125" s="11"/>
      <c r="Y125" s="11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</row>
    <row r="126" spans="1:42" ht="26.1" customHeight="1">
      <c r="A126" s="65">
        <v>82</v>
      </c>
      <c r="B126" s="66" t="s">
        <v>113</v>
      </c>
      <c r="C126" s="67"/>
      <c r="D126" s="68"/>
      <c r="E126" s="69"/>
      <c r="F126" s="69"/>
      <c r="G126" s="69"/>
      <c r="H126" s="184">
        <v>0.29299999999999998</v>
      </c>
      <c r="I126" s="192"/>
      <c r="J126" s="192">
        <v>3574.58</v>
      </c>
      <c r="K126" s="192">
        <v>3395.8510000000001</v>
      </c>
      <c r="L126" s="192">
        <f t="shared" si="11"/>
        <v>178.72899999999981</v>
      </c>
      <c r="M126" s="140"/>
      <c r="N126" s="140"/>
      <c r="O126" s="140"/>
      <c r="P126" s="140"/>
      <c r="Q126" s="141"/>
      <c r="R126" s="143"/>
      <c r="S126" s="104"/>
      <c r="T126" s="77"/>
      <c r="U126" s="105"/>
      <c r="V126" s="52"/>
      <c r="W126" s="11"/>
      <c r="X126" s="11"/>
      <c r="Y126" s="11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</row>
    <row r="127" spans="1:42" ht="26.1" customHeight="1">
      <c r="A127" s="65">
        <v>83</v>
      </c>
      <c r="B127" s="66" t="s">
        <v>114</v>
      </c>
      <c r="C127" s="67"/>
      <c r="D127" s="68"/>
      <c r="E127" s="69"/>
      <c r="F127" s="69"/>
      <c r="G127" s="69"/>
      <c r="H127" s="184">
        <v>0.51300000000000001</v>
      </c>
      <c r="I127" s="192"/>
      <c r="J127" s="192">
        <v>6310.36</v>
      </c>
      <c r="K127" s="192">
        <v>5994.8419999999996</v>
      </c>
      <c r="L127" s="192">
        <f t="shared" si="11"/>
        <v>315.51800000000003</v>
      </c>
      <c r="M127" s="140"/>
      <c r="N127" s="140"/>
      <c r="O127" s="140"/>
      <c r="P127" s="140"/>
      <c r="Q127" s="141"/>
      <c r="R127" s="143"/>
      <c r="S127" s="104"/>
      <c r="T127" s="77"/>
      <c r="U127" s="105"/>
      <c r="V127" s="52"/>
      <c r="W127" s="11"/>
      <c r="X127" s="11"/>
      <c r="Y127" s="11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</row>
    <row r="128" spans="1:42" ht="26.1" customHeight="1">
      <c r="A128" s="65">
        <v>84</v>
      </c>
      <c r="B128" s="66" t="s">
        <v>229</v>
      </c>
      <c r="C128" s="67"/>
      <c r="D128" s="68"/>
      <c r="E128" s="69"/>
      <c r="F128" s="69"/>
      <c r="G128" s="69"/>
      <c r="H128" s="184">
        <v>0.55300000000000005</v>
      </c>
      <c r="I128" s="192"/>
      <c r="J128" s="192">
        <v>1268.941</v>
      </c>
      <c r="K128" s="192">
        <v>1205.49395</v>
      </c>
      <c r="L128" s="192">
        <f t="shared" si="11"/>
        <v>63.44704999999999</v>
      </c>
      <c r="M128" s="140"/>
      <c r="N128" s="140"/>
      <c r="O128" s="140"/>
      <c r="P128" s="140"/>
      <c r="Q128" s="141"/>
      <c r="R128" s="143"/>
      <c r="S128" s="104"/>
      <c r="T128" s="77"/>
      <c r="U128" s="105"/>
      <c r="V128" s="52"/>
      <c r="W128" s="11"/>
      <c r="X128" s="11"/>
      <c r="Y128" s="11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</row>
    <row r="129" spans="1:42" ht="26.1" customHeight="1">
      <c r="A129" s="65">
        <v>85</v>
      </c>
      <c r="B129" s="66" t="s">
        <v>115</v>
      </c>
      <c r="C129" s="67"/>
      <c r="D129" s="68"/>
      <c r="E129" s="69"/>
      <c r="F129" s="69"/>
      <c r="G129" s="69"/>
      <c r="H129" s="184">
        <v>0.56000000000000005</v>
      </c>
      <c r="I129" s="192"/>
      <c r="J129" s="192">
        <v>348.19069999999999</v>
      </c>
      <c r="K129" s="192">
        <v>330.78116999999997</v>
      </c>
      <c r="L129" s="192">
        <f t="shared" si="11"/>
        <v>17.409530000000018</v>
      </c>
      <c r="M129" s="140"/>
      <c r="N129" s="140"/>
      <c r="O129" s="140"/>
      <c r="P129" s="140"/>
      <c r="Q129" s="141"/>
      <c r="R129" s="143"/>
      <c r="S129" s="104"/>
      <c r="T129" s="77"/>
      <c r="U129" s="105"/>
      <c r="V129" s="52"/>
      <c r="W129" s="11"/>
      <c r="X129" s="11"/>
      <c r="Y129" s="11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</row>
    <row r="130" spans="1:42" ht="26.1" customHeight="1">
      <c r="A130" s="65">
        <v>86</v>
      </c>
      <c r="B130" s="66" t="s">
        <v>116</v>
      </c>
      <c r="C130" s="67"/>
      <c r="D130" s="68"/>
      <c r="E130" s="69"/>
      <c r="F130" s="69"/>
      <c r="G130" s="69"/>
      <c r="H130" s="184">
        <v>3.1</v>
      </c>
      <c r="I130" s="192"/>
      <c r="J130" s="192">
        <v>22698.74</v>
      </c>
      <c r="K130" s="192">
        <v>21563.803</v>
      </c>
      <c r="L130" s="192">
        <f t="shared" si="11"/>
        <v>1134.9370000000017</v>
      </c>
      <c r="M130" s="140"/>
      <c r="N130" s="140"/>
      <c r="O130" s="140"/>
      <c r="P130" s="140"/>
      <c r="Q130" s="141"/>
      <c r="R130" s="143"/>
      <c r="S130" s="104"/>
      <c r="T130" s="77"/>
      <c r="U130" s="105"/>
      <c r="V130" s="52"/>
      <c r="W130" s="11"/>
      <c r="X130" s="11"/>
      <c r="Y130" s="11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</row>
    <row r="131" spans="1:42" ht="26.1" customHeight="1">
      <c r="A131" s="65">
        <v>87</v>
      </c>
      <c r="B131" s="66" t="s">
        <v>117</v>
      </c>
      <c r="C131" s="67"/>
      <c r="D131" s="68"/>
      <c r="E131" s="69"/>
      <c r="F131" s="69"/>
      <c r="G131" s="69"/>
      <c r="H131" s="184">
        <v>0.88100000000000001</v>
      </c>
      <c r="I131" s="192"/>
      <c r="J131" s="192">
        <v>8561.6</v>
      </c>
      <c r="K131" s="192">
        <v>8133.52</v>
      </c>
      <c r="L131" s="192">
        <f t="shared" si="11"/>
        <v>428.07999999999993</v>
      </c>
      <c r="M131" s="140"/>
      <c r="N131" s="140"/>
      <c r="O131" s="140"/>
      <c r="P131" s="140"/>
      <c r="Q131" s="141"/>
      <c r="R131" s="143"/>
      <c r="S131" s="104"/>
      <c r="T131" s="77"/>
      <c r="U131" s="105"/>
      <c r="V131" s="52"/>
      <c r="W131" s="11"/>
      <c r="X131" s="11"/>
      <c r="Y131" s="11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</row>
    <row r="132" spans="1:42" ht="26.1" customHeight="1">
      <c r="A132" s="65">
        <v>88</v>
      </c>
      <c r="B132" s="66" t="s">
        <v>118</v>
      </c>
      <c r="C132" s="67"/>
      <c r="D132" s="68"/>
      <c r="E132" s="69"/>
      <c r="F132" s="69"/>
      <c r="G132" s="69"/>
      <c r="H132" s="184">
        <v>1.78</v>
      </c>
      <c r="I132" s="192"/>
      <c r="J132" s="192">
        <v>21754.86</v>
      </c>
      <c r="K132" s="192">
        <v>20667.116999999998</v>
      </c>
      <c r="L132" s="192">
        <f t="shared" si="11"/>
        <v>1087.7430000000022</v>
      </c>
      <c r="M132" s="140"/>
      <c r="N132" s="140"/>
      <c r="O132" s="140"/>
      <c r="P132" s="140"/>
      <c r="Q132" s="141"/>
      <c r="R132" s="143"/>
      <c r="S132" s="104"/>
      <c r="T132" s="77"/>
      <c r="U132" s="105"/>
      <c r="V132" s="52"/>
      <c r="W132" s="11"/>
      <c r="X132" s="11"/>
      <c r="Y132" s="11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</row>
    <row r="133" spans="1:42" ht="26.1" customHeight="1">
      <c r="A133" s="65">
        <v>89</v>
      </c>
      <c r="B133" s="66" t="s">
        <v>119</v>
      </c>
      <c r="C133" s="67"/>
      <c r="D133" s="68"/>
      <c r="E133" s="69"/>
      <c r="F133" s="69"/>
      <c r="G133" s="69"/>
      <c r="H133" s="184">
        <v>0.47099999999999997</v>
      </c>
      <c r="I133" s="192"/>
      <c r="J133" s="192">
        <v>23435.99</v>
      </c>
      <c r="K133" s="192">
        <v>22264.190500000001</v>
      </c>
      <c r="L133" s="192">
        <f t="shared" ref="L133:L135" si="12">J133-K133</f>
        <v>1171.799500000001</v>
      </c>
      <c r="M133" s="140"/>
      <c r="N133" s="140"/>
      <c r="O133" s="140"/>
      <c r="P133" s="140"/>
      <c r="Q133" s="141"/>
      <c r="R133" s="143"/>
      <c r="S133" s="104"/>
      <c r="T133" s="77"/>
      <c r="U133" s="105"/>
      <c r="V133" s="52"/>
      <c r="W133" s="11"/>
      <c r="X133" s="11"/>
      <c r="Y133" s="11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</row>
    <row r="134" spans="1:42" ht="26.1" customHeight="1">
      <c r="A134" s="65">
        <v>90</v>
      </c>
      <c r="B134" s="66" t="s">
        <v>120</v>
      </c>
      <c r="C134" s="67"/>
      <c r="D134" s="68"/>
      <c r="E134" s="69"/>
      <c r="F134" s="69"/>
      <c r="G134" s="69"/>
      <c r="H134" s="184">
        <v>0.253</v>
      </c>
      <c r="I134" s="192"/>
      <c r="J134" s="192">
        <v>2296.52</v>
      </c>
      <c r="K134" s="192">
        <v>2181.694</v>
      </c>
      <c r="L134" s="192">
        <f t="shared" si="12"/>
        <v>114.82600000000002</v>
      </c>
      <c r="M134" s="140"/>
      <c r="N134" s="140"/>
      <c r="O134" s="140"/>
      <c r="P134" s="140"/>
      <c r="Q134" s="141"/>
      <c r="R134" s="143"/>
      <c r="S134" s="104"/>
      <c r="T134" s="77"/>
      <c r="U134" s="105"/>
      <c r="V134" s="52"/>
      <c r="W134" s="11"/>
      <c r="X134" s="11"/>
      <c r="Y134" s="11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</row>
    <row r="135" spans="1:42" ht="26.1" customHeight="1">
      <c r="A135" s="65">
        <v>91</v>
      </c>
      <c r="B135" s="66" t="s">
        <v>228</v>
      </c>
      <c r="C135" s="67"/>
      <c r="D135" s="68"/>
      <c r="E135" s="69"/>
      <c r="F135" s="69"/>
      <c r="G135" s="69"/>
      <c r="H135" s="184">
        <v>0.41</v>
      </c>
      <c r="I135" s="192"/>
      <c r="J135" s="192">
        <v>6435.1864500000001</v>
      </c>
      <c r="K135" s="192">
        <v>6113.42713</v>
      </c>
      <c r="L135" s="192">
        <f t="shared" si="12"/>
        <v>321.75932000000012</v>
      </c>
      <c r="M135" s="140"/>
      <c r="N135" s="140"/>
      <c r="O135" s="140"/>
      <c r="P135" s="140"/>
      <c r="Q135" s="141"/>
      <c r="R135" s="143"/>
      <c r="S135" s="104"/>
      <c r="T135" s="77"/>
      <c r="U135" s="105"/>
      <c r="V135" s="52"/>
      <c r="W135" s="11"/>
      <c r="X135" s="11"/>
      <c r="Y135" s="11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</row>
    <row r="136" spans="1:42" ht="40.5" customHeight="1">
      <c r="A136" s="65"/>
      <c r="B136" s="110" t="s">
        <v>78</v>
      </c>
      <c r="C136" s="67"/>
      <c r="D136" s="68"/>
      <c r="E136" s="69"/>
      <c r="F136" s="69"/>
      <c r="G136" s="69"/>
      <c r="H136" s="142"/>
      <c r="I136" s="140"/>
      <c r="J136" s="140"/>
      <c r="K136" s="140"/>
      <c r="L136" s="140"/>
      <c r="M136" s="140"/>
      <c r="N136" s="140"/>
      <c r="O136" s="140"/>
      <c r="P136" s="140"/>
      <c r="Q136" s="141"/>
      <c r="R136" s="143"/>
      <c r="S136" s="104"/>
      <c r="T136" s="77"/>
      <c r="U136" s="105"/>
      <c r="V136" s="52"/>
      <c r="W136" s="11"/>
      <c r="X136" s="11"/>
      <c r="Y136" s="181" t="s">
        <v>93</v>
      </c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</row>
    <row r="137" spans="1:42" ht="36.75" customHeight="1">
      <c r="A137" s="65">
        <v>92</v>
      </c>
      <c r="B137" s="66" t="s">
        <v>206</v>
      </c>
      <c r="C137" s="67"/>
      <c r="D137" s="68"/>
      <c r="E137" s="69"/>
      <c r="F137" s="69"/>
      <c r="G137" s="69"/>
      <c r="H137" s="142">
        <v>0.56000000000000005</v>
      </c>
      <c r="I137" s="140"/>
      <c r="J137" s="140">
        <v>5273.4160000000002</v>
      </c>
      <c r="K137" s="140">
        <v>5009.7452000000003</v>
      </c>
      <c r="L137" s="140">
        <f t="shared" ref="L137:L140" si="13">J137-K137</f>
        <v>263.67079999999987</v>
      </c>
      <c r="M137" s="140"/>
      <c r="N137" s="140"/>
      <c r="O137" s="140"/>
      <c r="P137" s="140"/>
      <c r="Q137" s="141"/>
      <c r="R137" s="143"/>
      <c r="S137" s="104"/>
      <c r="T137" s="77"/>
      <c r="U137" s="105"/>
      <c r="V137" s="52"/>
      <c r="W137" s="11"/>
      <c r="X137" s="11"/>
      <c r="Y137" s="11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</row>
    <row r="138" spans="1:42" ht="39" customHeight="1">
      <c r="A138" s="65">
        <v>93</v>
      </c>
      <c r="B138" s="66" t="s">
        <v>205</v>
      </c>
      <c r="C138" s="67"/>
      <c r="D138" s="68"/>
      <c r="E138" s="69"/>
      <c r="F138" s="69"/>
      <c r="G138" s="69"/>
      <c r="H138" s="142">
        <v>1.85</v>
      </c>
      <c r="I138" s="140"/>
      <c r="J138" s="140">
        <v>6208.3944000000001</v>
      </c>
      <c r="K138" s="140">
        <v>5897.9746800000003</v>
      </c>
      <c r="L138" s="140">
        <f t="shared" si="13"/>
        <v>310.41971999999987</v>
      </c>
      <c r="M138" s="140"/>
      <c r="N138" s="140"/>
      <c r="O138" s="140"/>
      <c r="P138" s="140"/>
      <c r="Q138" s="141"/>
      <c r="R138" s="143"/>
      <c r="S138" s="104"/>
      <c r="T138" s="77"/>
      <c r="U138" s="105"/>
      <c r="V138" s="52"/>
      <c r="W138" s="11"/>
      <c r="X138" s="11"/>
      <c r="Y138" s="11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</row>
    <row r="139" spans="1:42" ht="39" customHeight="1">
      <c r="A139" s="65">
        <v>94</v>
      </c>
      <c r="B139" s="110" t="s">
        <v>219</v>
      </c>
      <c r="C139" s="67"/>
      <c r="D139" s="68"/>
      <c r="E139" s="69"/>
      <c r="F139" s="69"/>
      <c r="G139" s="69"/>
      <c r="H139" s="142">
        <v>0.61</v>
      </c>
      <c r="I139" s="140"/>
      <c r="J139" s="140">
        <v>7625.1818000000003</v>
      </c>
      <c r="K139" s="140">
        <v>7243.9227000000001</v>
      </c>
      <c r="L139" s="140">
        <f t="shared" si="13"/>
        <v>381.25910000000022</v>
      </c>
      <c r="M139" s="140"/>
      <c r="N139" s="140"/>
      <c r="O139" s="140"/>
      <c r="P139" s="140"/>
      <c r="Q139" s="141"/>
      <c r="R139" s="143"/>
      <c r="S139" s="104"/>
      <c r="T139" s="77"/>
      <c r="U139" s="105"/>
      <c r="V139" s="52"/>
      <c r="W139" s="11"/>
      <c r="X139" s="11"/>
      <c r="Y139" s="11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</row>
    <row r="140" spans="1:42" ht="40.5" customHeight="1">
      <c r="A140" s="65">
        <v>95</v>
      </c>
      <c r="B140" s="110" t="s">
        <v>207</v>
      </c>
      <c r="C140" s="67"/>
      <c r="D140" s="68"/>
      <c r="E140" s="69"/>
      <c r="F140" s="69"/>
      <c r="G140" s="69"/>
      <c r="H140" s="184">
        <v>0.45</v>
      </c>
      <c r="I140" s="192"/>
      <c r="J140" s="192">
        <v>672.04480000000001</v>
      </c>
      <c r="K140" s="192">
        <v>638.44255999999996</v>
      </c>
      <c r="L140" s="192">
        <f t="shared" si="13"/>
        <v>33.602240000000052</v>
      </c>
      <c r="M140" s="140"/>
      <c r="N140" s="140"/>
      <c r="O140" s="140"/>
      <c r="P140" s="140"/>
      <c r="Q140" s="141"/>
      <c r="R140" s="143"/>
      <c r="S140" s="104"/>
      <c r="T140" s="77"/>
      <c r="U140" s="105"/>
      <c r="V140" s="52"/>
      <c r="W140" s="11"/>
      <c r="X140" s="11"/>
      <c r="Y140" s="11"/>
      <c r="Z140" s="4"/>
      <c r="AA140" s="182" t="s">
        <v>93</v>
      </c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</row>
    <row r="141" spans="1:42" ht="28.5" customHeight="1">
      <c r="A141" s="65"/>
      <c r="B141" s="58" t="s">
        <v>121</v>
      </c>
      <c r="C141" s="59">
        <f>C142</f>
        <v>3.4420000000000002</v>
      </c>
      <c r="D141" s="56"/>
      <c r="E141" s="59">
        <f>E142</f>
        <v>39750.300000000003</v>
      </c>
      <c r="F141" s="59">
        <f>F142</f>
        <v>37762.800000000003</v>
      </c>
      <c r="G141" s="59">
        <f>G142</f>
        <v>1987.5</v>
      </c>
      <c r="H141" s="59"/>
      <c r="I141" s="59"/>
      <c r="J141" s="59"/>
      <c r="K141" s="59"/>
      <c r="L141" s="77"/>
      <c r="M141" s="59">
        <f>SUM(M146:M151)</f>
        <v>4.7023000000000001</v>
      </c>
      <c r="N141" s="77"/>
      <c r="O141" s="59">
        <f>SUM(O146:O151)</f>
        <v>75383.899999999994</v>
      </c>
      <c r="P141" s="59">
        <f>SUM(P146:P151)</f>
        <v>71614.7</v>
      </c>
      <c r="Q141" s="61">
        <f>SUM(Q146:Q151)</f>
        <v>3769.2000000000007</v>
      </c>
      <c r="R141" s="144">
        <f>R142</f>
        <v>1.6</v>
      </c>
      <c r="S141" s="59"/>
      <c r="T141" s="59">
        <f>T142</f>
        <v>40000</v>
      </c>
      <c r="U141" s="60">
        <f>U142</f>
        <v>38000</v>
      </c>
      <c r="V141" s="61">
        <f>V142</f>
        <v>2000</v>
      </c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</row>
    <row r="142" spans="1:42" ht="25.5" customHeight="1">
      <c r="A142" s="145"/>
      <c r="B142" s="80" t="s">
        <v>55</v>
      </c>
      <c r="C142" s="67">
        <f>SUM(C143:C145)</f>
        <v>3.4420000000000002</v>
      </c>
      <c r="D142" s="69"/>
      <c r="E142" s="69">
        <f>SUM(E143:E145)</f>
        <v>39750.300000000003</v>
      </c>
      <c r="F142" s="69">
        <f>SUM(F143:F145)</f>
        <v>37762.800000000003</v>
      </c>
      <c r="G142" s="69">
        <f>SUM(G143:G145)</f>
        <v>1987.5</v>
      </c>
      <c r="H142" s="59"/>
      <c r="I142" s="59"/>
      <c r="J142" s="59"/>
      <c r="K142" s="59"/>
      <c r="L142" s="77"/>
      <c r="M142" s="77"/>
      <c r="N142" s="77"/>
      <c r="O142" s="77"/>
      <c r="P142" s="77"/>
      <c r="Q142" s="146"/>
      <c r="R142" s="114">
        <v>1.6</v>
      </c>
      <c r="S142" s="115"/>
      <c r="T142" s="107">
        <v>40000</v>
      </c>
      <c r="U142" s="116">
        <f>T142*0.95</f>
        <v>38000</v>
      </c>
      <c r="V142" s="117">
        <f>T142-U142</f>
        <v>2000</v>
      </c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</row>
    <row r="143" spans="1:42" ht="27" customHeight="1">
      <c r="A143" s="65">
        <v>96</v>
      </c>
      <c r="B143" s="66" t="s">
        <v>122</v>
      </c>
      <c r="C143" s="67">
        <v>1.3140000000000001</v>
      </c>
      <c r="D143" s="69"/>
      <c r="E143" s="69">
        <f>F143+G143</f>
        <v>17316.387719999999</v>
      </c>
      <c r="F143" s="69">
        <f>16450.53986+0.04411</f>
        <v>16450.58397</v>
      </c>
      <c r="G143" s="69">
        <f>865.8179-0.01348-0.00067</f>
        <v>865.80375000000004</v>
      </c>
      <c r="H143" s="59"/>
      <c r="I143" s="59"/>
      <c r="J143" s="59"/>
      <c r="K143" s="59"/>
      <c r="L143" s="77"/>
      <c r="M143" s="77"/>
      <c r="N143" s="77"/>
      <c r="O143" s="77"/>
      <c r="P143" s="77"/>
      <c r="Q143" s="146"/>
      <c r="R143" s="114"/>
      <c r="S143" s="115"/>
      <c r="T143" s="107"/>
      <c r="U143" s="116"/>
      <c r="V143" s="117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</row>
    <row r="144" spans="1:42" ht="30.75" customHeight="1">
      <c r="A144" s="65">
        <v>97</v>
      </c>
      <c r="B144" s="66" t="s">
        <v>123</v>
      </c>
      <c r="C144" s="67">
        <v>0.75600000000000001</v>
      </c>
      <c r="D144" s="69"/>
      <c r="E144" s="69">
        <f>F144+G144</f>
        <v>16488.924930000001</v>
      </c>
      <c r="F144" s="69">
        <v>15664.47868</v>
      </c>
      <c r="G144" s="69">
        <v>824.44624999999996</v>
      </c>
      <c r="H144" s="59"/>
      <c r="I144" s="59"/>
      <c r="J144" s="59"/>
      <c r="K144" s="59"/>
      <c r="L144" s="77"/>
      <c r="M144" s="77"/>
      <c r="N144" s="77"/>
      <c r="O144" s="77"/>
      <c r="P144" s="77"/>
      <c r="Q144" s="146"/>
      <c r="R144" s="114"/>
      <c r="S144" s="115"/>
      <c r="T144" s="107"/>
      <c r="U144" s="116"/>
      <c r="V144" s="117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</row>
    <row r="145" spans="1:42" ht="26.25" customHeight="1">
      <c r="A145" s="65">
        <v>98</v>
      </c>
      <c r="B145" s="66" t="s">
        <v>124</v>
      </c>
      <c r="C145" s="67">
        <v>1.3720000000000001</v>
      </c>
      <c r="D145" s="69"/>
      <c r="E145" s="69">
        <f>F145+G145</f>
        <v>5944.9873500000003</v>
      </c>
      <c r="F145" s="69">
        <v>5647.7373500000003</v>
      </c>
      <c r="G145" s="69">
        <f>297.24933+0.00067</f>
        <v>297.25</v>
      </c>
      <c r="H145" s="59"/>
      <c r="I145" s="59"/>
      <c r="J145" s="59"/>
      <c r="K145" s="59"/>
      <c r="L145" s="77"/>
      <c r="M145" s="77"/>
      <c r="N145" s="77"/>
      <c r="O145" s="77"/>
      <c r="P145" s="77"/>
      <c r="Q145" s="146"/>
      <c r="R145" s="114"/>
      <c r="S145" s="115"/>
      <c r="T145" s="107"/>
      <c r="U145" s="116"/>
      <c r="V145" s="117"/>
      <c r="W145" s="4"/>
      <c r="X145" s="4"/>
      <c r="Y145" s="4" t="s">
        <v>36</v>
      </c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</row>
    <row r="146" spans="1:42" ht="42.75" customHeight="1">
      <c r="A146" s="65">
        <v>99</v>
      </c>
      <c r="B146" s="66" t="s">
        <v>125</v>
      </c>
      <c r="C146" s="67"/>
      <c r="D146" s="69"/>
      <c r="E146" s="69"/>
      <c r="F146" s="69"/>
      <c r="G146" s="69"/>
      <c r="H146" s="59"/>
      <c r="I146" s="59"/>
      <c r="J146" s="59"/>
      <c r="K146" s="59"/>
      <c r="L146" s="77"/>
      <c r="M146" s="67">
        <v>0.84</v>
      </c>
      <c r="N146" s="69"/>
      <c r="O146" s="69">
        <v>24550.17</v>
      </c>
      <c r="P146" s="69">
        <v>23322.661499999998</v>
      </c>
      <c r="Q146" s="73">
        <f>O146-P146</f>
        <v>1227.5084999999999</v>
      </c>
      <c r="R146" s="114"/>
      <c r="S146" s="115"/>
      <c r="T146" s="107"/>
      <c r="U146" s="116"/>
      <c r="V146" s="117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</row>
    <row r="147" spans="1:42" ht="23.25" customHeight="1">
      <c r="A147" s="65">
        <v>100</v>
      </c>
      <c r="B147" s="66" t="s">
        <v>126</v>
      </c>
      <c r="C147" s="67"/>
      <c r="D147" s="69"/>
      <c r="E147" s="69"/>
      <c r="F147" s="69"/>
      <c r="G147" s="69"/>
      <c r="H147" s="59"/>
      <c r="I147" s="59"/>
      <c r="J147" s="59"/>
      <c r="K147" s="59"/>
      <c r="L147" s="77"/>
      <c r="M147" s="67">
        <v>0.59360000000000002</v>
      </c>
      <c r="N147" s="69"/>
      <c r="O147" s="69">
        <v>5733.29</v>
      </c>
      <c r="P147" s="69">
        <v>5446.6255000000001</v>
      </c>
      <c r="Q147" s="73">
        <f>O147-P147</f>
        <v>286.66449999999986</v>
      </c>
      <c r="R147" s="114"/>
      <c r="S147" s="115"/>
      <c r="T147" s="107"/>
      <c r="U147" s="116"/>
      <c r="V147" s="117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</row>
    <row r="148" spans="1:42" ht="24.75" customHeight="1">
      <c r="A148" s="65">
        <v>101</v>
      </c>
      <c r="B148" s="66" t="s">
        <v>127</v>
      </c>
      <c r="C148" s="67"/>
      <c r="D148" s="69"/>
      <c r="E148" s="69"/>
      <c r="F148" s="69"/>
      <c r="G148" s="69"/>
      <c r="H148" s="59"/>
      <c r="I148" s="59"/>
      <c r="J148" s="59"/>
      <c r="K148" s="59"/>
      <c r="L148" s="77"/>
      <c r="M148" s="67">
        <v>0.3357</v>
      </c>
      <c r="N148" s="69"/>
      <c r="O148" s="69">
        <v>6702.26</v>
      </c>
      <c r="P148" s="69">
        <v>6367.1469999999999</v>
      </c>
      <c r="Q148" s="73">
        <f>O148-P148</f>
        <v>335.11300000000028</v>
      </c>
      <c r="R148" s="114"/>
      <c r="S148" s="115"/>
      <c r="T148" s="107"/>
      <c r="U148" s="116"/>
      <c r="V148" s="117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</row>
    <row r="149" spans="1:42" ht="24.75" customHeight="1">
      <c r="A149" s="65">
        <v>102</v>
      </c>
      <c r="B149" s="66" t="s">
        <v>128</v>
      </c>
      <c r="C149" s="67"/>
      <c r="D149" s="69"/>
      <c r="E149" s="69"/>
      <c r="F149" s="69"/>
      <c r="G149" s="69"/>
      <c r="H149" s="59"/>
      <c r="I149" s="59"/>
      <c r="J149" s="59"/>
      <c r="K149" s="59"/>
      <c r="L149" s="77"/>
      <c r="M149" s="67">
        <v>1.675</v>
      </c>
      <c r="N149" s="69"/>
      <c r="O149" s="69">
        <v>8311.5400000000009</v>
      </c>
      <c r="P149" s="69">
        <v>7895.9629999999997</v>
      </c>
      <c r="Q149" s="73">
        <f>O149-P149</f>
        <v>415.57700000000114</v>
      </c>
      <c r="R149" s="114"/>
      <c r="S149" s="115"/>
      <c r="T149" s="107"/>
      <c r="U149" s="116"/>
      <c r="V149" s="117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</row>
    <row r="150" spans="1:42" ht="44.25" customHeight="1">
      <c r="A150" s="65"/>
      <c r="B150" s="110" t="s">
        <v>78</v>
      </c>
      <c r="C150" s="67"/>
      <c r="D150" s="69"/>
      <c r="E150" s="69"/>
      <c r="F150" s="69"/>
      <c r="G150" s="69"/>
      <c r="H150" s="59"/>
      <c r="I150" s="59"/>
      <c r="J150" s="59"/>
      <c r="K150" s="59"/>
      <c r="L150" s="77"/>
      <c r="M150" s="77"/>
      <c r="N150" s="77"/>
      <c r="O150" s="77"/>
      <c r="P150" s="77"/>
      <c r="Q150" s="146"/>
      <c r="R150" s="114"/>
      <c r="S150" s="115"/>
      <c r="T150" s="107"/>
      <c r="U150" s="116"/>
      <c r="V150" s="117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</row>
    <row r="151" spans="1:42" ht="41.25" customHeight="1">
      <c r="A151" s="65">
        <v>103</v>
      </c>
      <c r="B151" s="66" t="s">
        <v>129</v>
      </c>
      <c r="C151" s="67"/>
      <c r="D151" s="69"/>
      <c r="E151" s="69"/>
      <c r="F151" s="69"/>
      <c r="G151" s="69"/>
      <c r="H151" s="59"/>
      <c r="I151" s="59"/>
      <c r="J151" s="59"/>
      <c r="K151" s="59"/>
      <c r="L151" s="77"/>
      <c r="M151" s="67">
        <v>1.258</v>
      </c>
      <c r="N151" s="69"/>
      <c r="O151" s="69">
        <v>30086.639999999999</v>
      </c>
      <c r="P151" s="69">
        <v>28582.303</v>
      </c>
      <c r="Q151" s="73">
        <f>O151-P151</f>
        <v>1504.3369999999995</v>
      </c>
      <c r="R151" s="114"/>
      <c r="S151" s="115"/>
      <c r="T151" s="107"/>
      <c r="U151" s="116"/>
      <c r="V151" s="117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</row>
    <row r="152" spans="1:42" ht="36" hidden="1" customHeight="1">
      <c r="A152" s="65"/>
      <c r="B152" s="58" t="s">
        <v>130</v>
      </c>
      <c r="C152" s="59">
        <f>C153</f>
        <v>0</v>
      </c>
      <c r="D152" s="59">
        <f>D154</f>
        <v>0</v>
      </c>
      <c r="E152" s="59">
        <f>SUM(E153:E154)</f>
        <v>0</v>
      </c>
      <c r="F152" s="59">
        <f>SUM(F153:F154)</f>
        <v>0</v>
      </c>
      <c r="G152" s="59">
        <f>SUM(G153:G154)</f>
        <v>0</v>
      </c>
      <c r="H152" s="133"/>
      <c r="I152" s="134"/>
      <c r="J152" s="134"/>
      <c r="K152" s="134"/>
      <c r="L152" s="134"/>
      <c r="M152" s="134"/>
      <c r="N152" s="134"/>
      <c r="O152" s="134"/>
      <c r="P152" s="134"/>
      <c r="Q152" s="138"/>
      <c r="R152" s="62">
        <f>R153</f>
        <v>1.6</v>
      </c>
      <c r="S152" s="59" t="e">
        <f>#REF!</f>
        <v>#REF!</v>
      </c>
      <c r="T152" s="59" t="e">
        <f>T153+#REF!</f>
        <v>#REF!</v>
      </c>
      <c r="U152" s="59" t="e">
        <f>U153+#REF!</f>
        <v>#REF!</v>
      </c>
      <c r="V152" s="61" t="e">
        <f>V153+#REF!</f>
        <v>#REF!</v>
      </c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</row>
    <row r="153" spans="1:42" ht="24.75" hidden="1" customHeight="1">
      <c r="A153" s="65"/>
      <c r="B153" s="66" t="s">
        <v>131</v>
      </c>
      <c r="C153" s="67"/>
      <c r="D153" s="96"/>
      <c r="E153" s="69"/>
      <c r="F153" s="69"/>
      <c r="G153" s="69"/>
      <c r="H153" s="97"/>
      <c r="I153" s="97"/>
      <c r="J153" s="97"/>
      <c r="K153" s="97"/>
      <c r="L153" s="97"/>
      <c r="M153" s="97"/>
      <c r="N153" s="97"/>
      <c r="O153" s="97"/>
      <c r="P153" s="97"/>
      <c r="Q153" s="98"/>
      <c r="R153" s="114">
        <v>1.6</v>
      </c>
      <c r="S153" s="79"/>
      <c r="T153" s="69">
        <v>40000</v>
      </c>
      <c r="U153" s="147">
        <f>T153*0.94</f>
        <v>37600</v>
      </c>
      <c r="V153" s="73">
        <f>T153-U153</f>
        <v>2400</v>
      </c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</row>
    <row r="154" spans="1:42" ht="42" hidden="1" customHeight="1">
      <c r="A154" s="65"/>
      <c r="B154" s="66" t="s">
        <v>132</v>
      </c>
      <c r="C154" s="96"/>
      <c r="D154" s="69"/>
      <c r="E154" s="69"/>
      <c r="F154" s="69"/>
      <c r="G154" s="69"/>
      <c r="H154" s="97"/>
      <c r="I154" s="97"/>
      <c r="J154" s="97"/>
      <c r="K154" s="97"/>
      <c r="L154" s="97"/>
      <c r="M154" s="97"/>
      <c r="N154" s="97"/>
      <c r="O154" s="97"/>
      <c r="P154" s="97"/>
      <c r="Q154" s="98"/>
      <c r="R154" s="114"/>
      <c r="S154" s="79"/>
      <c r="T154" s="69"/>
      <c r="U154" s="147"/>
      <c r="V154" s="73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</row>
    <row r="155" spans="1:42" ht="29.25" customHeight="1">
      <c r="A155" s="65"/>
      <c r="B155" s="58" t="s">
        <v>133</v>
      </c>
      <c r="C155" s="59">
        <f>SUM(C156:C166)</f>
        <v>8.3800000000000008</v>
      </c>
      <c r="D155" s="59"/>
      <c r="E155" s="59">
        <f>SUM(E156:E166)</f>
        <v>87848.3</v>
      </c>
      <c r="F155" s="59">
        <f>SUM(F156:F166)</f>
        <v>83455.899999999994</v>
      </c>
      <c r="G155" s="59">
        <f>SUM(G156:G166)</f>
        <v>4392.4000000000033</v>
      </c>
      <c r="H155" s="133">
        <f>H167</f>
        <v>0.24</v>
      </c>
      <c r="I155" s="134"/>
      <c r="J155" s="134">
        <f>J167</f>
        <v>1160.0999999999999</v>
      </c>
      <c r="K155" s="134">
        <f>K167</f>
        <v>1102.0999999999999</v>
      </c>
      <c r="L155" s="134">
        <f>L167</f>
        <v>58</v>
      </c>
      <c r="M155" s="134"/>
      <c r="N155" s="134"/>
      <c r="O155" s="134"/>
      <c r="P155" s="134"/>
      <c r="Q155" s="138"/>
      <c r="R155" s="62">
        <f>R156</f>
        <v>2.9140000000000001</v>
      </c>
      <c r="S155" s="59"/>
      <c r="T155" s="59">
        <f>T156</f>
        <v>40000</v>
      </c>
      <c r="U155" s="59">
        <f>U156</f>
        <v>38000</v>
      </c>
      <c r="V155" s="61">
        <f>V156</f>
        <v>2000</v>
      </c>
      <c r="W155" s="148" t="e">
        <f>O155+#REF!</f>
        <v>#REF!</v>
      </c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</row>
    <row r="156" spans="1:42" ht="27.95" customHeight="1">
      <c r="A156" s="65">
        <v>104</v>
      </c>
      <c r="B156" s="66" t="s">
        <v>134</v>
      </c>
      <c r="C156" s="67">
        <v>0.79</v>
      </c>
      <c r="D156" s="68"/>
      <c r="E156" s="69">
        <v>13951</v>
      </c>
      <c r="F156" s="69">
        <f>E156*0.95-0.05</f>
        <v>13253.4</v>
      </c>
      <c r="G156" s="69">
        <f t="shared" ref="G156:G166" si="14">E156-F156</f>
        <v>697.60000000000036</v>
      </c>
      <c r="H156" s="142"/>
      <c r="I156" s="149"/>
      <c r="J156" s="149"/>
      <c r="K156" s="149"/>
      <c r="L156" s="149"/>
      <c r="M156" s="149"/>
      <c r="N156" s="149"/>
      <c r="O156" s="149"/>
      <c r="P156" s="149"/>
      <c r="Q156" s="150"/>
      <c r="R156" s="114">
        <f>1.439+1.475</f>
        <v>2.9140000000000001</v>
      </c>
      <c r="S156" s="104"/>
      <c r="T156" s="69">
        <v>40000</v>
      </c>
      <c r="U156" s="147">
        <f>T156*0.95</f>
        <v>38000</v>
      </c>
      <c r="V156" s="73">
        <f>T156-U156</f>
        <v>2000</v>
      </c>
      <c r="W156" s="148" t="e">
        <f>P155+#REF!</f>
        <v>#REF!</v>
      </c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</row>
    <row r="157" spans="1:42" ht="27.95" customHeight="1">
      <c r="A157" s="65">
        <v>105</v>
      </c>
      <c r="B157" s="66" t="s">
        <v>135</v>
      </c>
      <c r="C157" s="67">
        <v>0.28999999999999998</v>
      </c>
      <c r="D157" s="68"/>
      <c r="E157" s="69">
        <v>10331</v>
      </c>
      <c r="F157" s="69">
        <f>E157*0.95+0.05</f>
        <v>9814.4999999999982</v>
      </c>
      <c r="G157" s="69">
        <f t="shared" si="14"/>
        <v>516.50000000000182</v>
      </c>
      <c r="H157" s="142"/>
      <c r="I157" s="149"/>
      <c r="J157" s="149"/>
      <c r="K157" s="149"/>
      <c r="L157" s="149"/>
      <c r="M157" s="149"/>
      <c r="N157" s="149"/>
      <c r="O157" s="149"/>
      <c r="P157" s="149"/>
      <c r="Q157" s="150"/>
      <c r="R157" s="114"/>
      <c r="S157" s="104"/>
      <c r="T157" s="69"/>
      <c r="U157" s="147"/>
      <c r="V157" s="73"/>
      <c r="W157" s="148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</row>
    <row r="158" spans="1:42" ht="27.95" customHeight="1">
      <c r="A158" s="65">
        <v>106</v>
      </c>
      <c r="B158" s="66" t="s">
        <v>136</v>
      </c>
      <c r="C158" s="67">
        <v>0.51500000000000001</v>
      </c>
      <c r="D158" s="68"/>
      <c r="E158" s="69">
        <v>5928.4</v>
      </c>
      <c r="F158" s="69">
        <f>E158*0.95+0.02</f>
        <v>5632</v>
      </c>
      <c r="G158" s="69">
        <f t="shared" si="14"/>
        <v>296.39999999999964</v>
      </c>
      <c r="H158" s="142"/>
      <c r="I158" s="149"/>
      <c r="J158" s="149"/>
      <c r="K158" s="149"/>
      <c r="L158" s="149"/>
      <c r="M158" s="149"/>
      <c r="N158" s="149"/>
      <c r="O158" s="149"/>
      <c r="P158" s="149"/>
      <c r="Q158" s="150"/>
      <c r="R158" s="114"/>
      <c r="S158" s="104"/>
      <c r="T158" s="69"/>
      <c r="U158" s="147"/>
      <c r="V158" s="73"/>
      <c r="W158" s="148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</row>
    <row r="159" spans="1:42" ht="27.95" customHeight="1">
      <c r="A159" s="65">
        <v>107</v>
      </c>
      <c r="B159" s="66" t="s">
        <v>137</v>
      </c>
      <c r="C159" s="67">
        <v>1.66</v>
      </c>
      <c r="D159" s="68"/>
      <c r="E159" s="69">
        <v>7546.4</v>
      </c>
      <c r="F159" s="69">
        <f>E159*0.95+0.02</f>
        <v>7169.0999999999995</v>
      </c>
      <c r="G159" s="69">
        <f t="shared" si="14"/>
        <v>377.30000000000018</v>
      </c>
      <c r="H159" s="142"/>
      <c r="I159" s="149"/>
      <c r="J159" s="149"/>
      <c r="K159" s="149"/>
      <c r="L159" s="149"/>
      <c r="M159" s="149"/>
      <c r="N159" s="149"/>
      <c r="O159" s="149"/>
      <c r="P159" s="149"/>
      <c r="Q159" s="150"/>
      <c r="R159" s="114"/>
      <c r="S159" s="104"/>
      <c r="T159" s="69"/>
      <c r="U159" s="147"/>
      <c r="V159" s="73"/>
      <c r="W159" s="148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</row>
    <row r="160" spans="1:42" ht="27.95" customHeight="1">
      <c r="A160" s="65">
        <v>108</v>
      </c>
      <c r="B160" s="66" t="s">
        <v>138</v>
      </c>
      <c r="C160" s="67">
        <v>0.59</v>
      </c>
      <c r="D160" s="68"/>
      <c r="E160" s="69">
        <v>5804.4</v>
      </c>
      <c r="F160" s="69">
        <f>E160*0.95+0.02</f>
        <v>5514.2</v>
      </c>
      <c r="G160" s="69">
        <f t="shared" si="14"/>
        <v>290.19999999999982</v>
      </c>
      <c r="H160" s="142"/>
      <c r="I160" s="149"/>
      <c r="J160" s="149"/>
      <c r="K160" s="149"/>
      <c r="L160" s="149"/>
      <c r="M160" s="149"/>
      <c r="N160" s="149"/>
      <c r="O160" s="149"/>
      <c r="P160" s="149"/>
      <c r="Q160" s="150"/>
      <c r="R160" s="114"/>
      <c r="S160" s="104"/>
      <c r="T160" s="69"/>
      <c r="U160" s="147"/>
      <c r="V160" s="73"/>
      <c r="W160" s="148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</row>
    <row r="161" spans="1:42" ht="27.95" customHeight="1">
      <c r="A161" s="65">
        <v>109</v>
      </c>
      <c r="B161" s="66" t="s">
        <v>139</v>
      </c>
      <c r="C161" s="67">
        <v>1.95</v>
      </c>
      <c r="D161" s="68"/>
      <c r="E161" s="69">
        <v>17428.400000000001</v>
      </c>
      <c r="F161" s="69">
        <f>E161*0.95+0.02</f>
        <v>16557</v>
      </c>
      <c r="G161" s="69">
        <f t="shared" si="14"/>
        <v>871.40000000000146</v>
      </c>
      <c r="H161" s="142"/>
      <c r="I161" s="149"/>
      <c r="J161" s="149"/>
      <c r="K161" s="149"/>
      <c r="L161" s="149"/>
      <c r="M161" s="149"/>
      <c r="N161" s="149"/>
      <c r="O161" s="149"/>
      <c r="P161" s="149"/>
      <c r="Q161" s="150"/>
      <c r="R161" s="114"/>
      <c r="S161" s="104"/>
      <c r="T161" s="69"/>
      <c r="U161" s="147"/>
      <c r="V161" s="73"/>
      <c r="W161" s="148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</row>
    <row r="162" spans="1:42" ht="27.95" customHeight="1">
      <c r="A162" s="65">
        <v>110</v>
      </c>
      <c r="B162" s="66" t="s">
        <v>140</v>
      </c>
      <c r="C162" s="67">
        <v>0.26</v>
      </c>
      <c r="D162" s="68"/>
      <c r="E162" s="69">
        <v>2361.6</v>
      </c>
      <c r="F162" s="69">
        <f>E162*0.95-0.02</f>
        <v>2243.5</v>
      </c>
      <c r="G162" s="69">
        <f t="shared" si="14"/>
        <v>118.09999999999991</v>
      </c>
      <c r="H162" s="142"/>
      <c r="I162" s="149"/>
      <c r="J162" s="149"/>
      <c r="K162" s="149"/>
      <c r="L162" s="149"/>
      <c r="M162" s="149"/>
      <c r="N162" s="149"/>
      <c r="O162" s="149"/>
      <c r="P162" s="149"/>
      <c r="Q162" s="150"/>
      <c r="R162" s="114"/>
      <c r="S162" s="104"/>
      <c r="T162" s="69"/>
      <c r="U162" s="147"/>
      <c r="V162" s="73"/>
      <c r="W162" s="148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</row>
    <row r="163" spans="1:42" ht="27.95" customHeight="1">
      <c r="A163" s="65">
        <v>111</v>
      </c>
      <c r="B163" s="66" t="s">
        <v>141</v>
      </c>
      <c r="C163" s="67">
        <v>7.0000000000000007E-2</v>
      </c>
      <c r="D163" s="68"/>
      <c r="E163" s="69">
        <v>769.2</v>
      </c>
      <c r="F163" s="69">
        <f>E163*0.95-0.04</f>
        <v>730.7</v>
      </c>
      <c r="G163" s="69">
        <f t="shared" si="14"/>
        <v>38.5</v>
      </c>
      <c r="H163" s="142"/>
      <c r="I163" s="149"/>
      <c r="J163" s="149"/>
      <c r="K163" s="149"/>
      <c r="L163" s="149"/>
      <c r="M163" s="149"/>
      <c r="N163" s="149"/>
      <c r="O163" s="149"/>
      <c r="P163" s="149"/>
      <c r="Q163" s="150"/>
      <c r="R163" s="114"/>
      <c r="S163" s="104"/>
      <c r="T163" s="69"/>
      <c r="U163" s="147"/>
      <c r="V163" s="73"/>
      <c r="W163" s="148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</row>
    <row r="164" spans="1:42" ht="27.95" customHeight="1">
      <c r="A164" s="65">
        <v>112</v>
      </c>
      <c r="B164" s="66" t="s">
        <v>142</v>
      </c>
      <c r="C164" s="67">
        <v>0.4</v>
      </c>
      <c r="D164" s="68"/>
      <c r="E164" s="69">
        <v>3501.4</v>
      </c>
      <c r="F164" s="69">
        <f>E164*0.95+0.07</f>
        <v>3326.4</v>
      </c>
      <c r="G164" s="69">
        <f t="shared" si="14"/>
        <v>175</v>
      </c>
      <c r="H164" s="142"/>
      <c r="I164" s="149"/>
      <c r="J164" s="149"/>
      <c r="K164" s="149"/>
      <c r="L164" s="149"/>
      <c r="M164" s="149"/>
      <c r="N164" s="149"/>
      <c r="O164" s="149"/>
      <c r="P164" s="149"/>
      <c r="Q164" s="150"/>
      <c r="R164" s="114"/>
      <c r="S164" s="104"/>
      <c r="T164" s="69"/>
      <c r="U164" s="147"/>
      <c r="V164" s="73"/>
      <c r="W164" s="148"/>
      <c r="X164" s="4" t="s">
        <v>93</v>
      </c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</row>
    <row r="165" spans="1:42" ht="27.95" customHeight="1">
      <c r="A165" s="65">
        <v>113</v>
      </c>
      <c r="B165" s="66" t="s">
        <v>143</v>
      </c>
      <c r="C165" s="67">
        <v>0.63</v>
      </c>
      <c r="D165" s="68"/>
      <c r="E165" s="69">
        <v>9978.2000000000007</v>
      </c>
      <c r="F165" s="69">
        <f>E165*0.95-0.09</f>
        <v>9479.2000000000007</v>
      </c>
      <c r="G165" s="69">
        <f t="shared" si="14"/>
        <v>499</v>
      </c>
      <c r="H165" s="142"/>
      <c r="I165" s="149"/>
      <c r="J165" s="149"/>
      <c r="K165" s="149"/>
      <c r="L165" s="149"/>
      <c r="M165" s="149"/>
      <c r="N165" s="149"/>
      <c r="O165" s="149"/>
      <c r="P165" s="149"/>
      <c r="Q165" s="150"/>
      <c r="R165" s="114"/>
      <c r="S165" s="104"/>
      <c r="T165" s="69"/>
      <c r="U165" s="147"/>
      <c r="V165" s="73"/>
      <c r="W165" s="148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</row>
    <row r="166" spans="1:42" ht="27.95" customHeight="1">
      <c r="A166" s="65">
        <v>114</v>
      </c>
      <c r="B166" s="66" t="s">
        <v>144</v>
      </c>
      <c r="C166" s="67">
        <v>1.2250000000000001</v>
      </c>
      <c r="D166" s="68"/>
      <c r="E166" s="69">
        <v>10248.299999999999</v>
      </c>
      <c r="F166" s="69">
        <v>9735.9</v>
      </c>
      <c r="G166" s="69">
        <f t="shared" si="14"/>
        <v>512.39999999999964</v>
      </c>
      <c r="H166" s="142"/>
      <c r="I166" s="149"/>
      <c r="J166" s="149"/>
      <c r="K166" s="149"/>
      <c r="L166" s="149"/>
      <c r="M166" s="149"/>
      <c r="N166" s="149"/>
      <c r="O166" s="149"/>
      <c r="P166" s="149"/>
      <c r="Q166" s="150"/>
      <c r="R166" s="114"/>
      <c r="S166" s="104"/>
      <c r="T166" s="69"/>
      <c r="U166" s="147"/>
      <c r="V166" s="73"/>
      <c r="W166" s="148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</row>
    <row r="167" spans="1:42" ht="27.95" customHeight="1">
      <c r="A167" s="65">
        <v>115</v>
      </c>
      <c r="B167" s="66" t="s">
        <v>208</v>
      </c>
      <c r="C167" s="67"/>
      <c r="D167" s="68"/>
      <c r="E167" s="69"/>
      <c r="F167" s="69"/>
      <c r="G167" s="69"/>
      <c r="H167" s="184">
        <v>0.24</v>
      </c>
      <c r="I167" s="149"/>
      <c r="J167" s="140">
        <v>1160.0999999999999</v>
      </c>
      <c r="K167" s="140">
        <v>1102.0999999999999</v>
      </c>
      <c r="L167" s="140">
        <f>J167-K167</f>
        <v>58</v>
      </c>
      <c r="M167" s="149"/>
      <c r="N167" s="149"/>
      <c r="O167" s="149"/>
      <c r="P167" s="149"/>
      <c r="Q167" s="150"/>
      <c r="R167" s="114"/>
      <c r="S167" s="104"/>
      <c r="T167" s="69"/>
      <c r="U167" s="147"/>
      <c r="V167" s="73"/>
      <c r="W167" s="148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</row>
    <row r="168" spans="1:42" ht="32.25" customHeight="1">
      <c r="A168" s="65"/>
      <c r="B168" s="58" t="s">
        <v>145</v>
      </c>
      <c r="C168" s="59">
        <f>C169</f>
        <v>1.2070000000000001</v>
      </c>
      <c r="D168" s="59"/>
      <c r="E168" s="59">
        <f>E169</f>
        <v>40000</v>
      </c>
      <c r="F168" s="59">
        <f>F169</f>
        <v>37600</v>
      </c>
      <c r="G168" s="59">
        <f>G169</f>
        <v>2400</v>
      </c>
      <c r="H168" s="59"/>
      <c r="I168" s="59"/>
      <c r="J168" s="59"/>
      <c r="K168" s="59"/>
      <c r="L168" s="77"/>
      <c r="M168" s="77">
        <f>SUM(M170:M177)</f>
        <v>9.0220000000000002</v>
      </c>
      <c r="N168" s="77"/>
      <c r="O168" s="59">
        <f>SUM(O170:O177)</f>
        <v>143288.5</v>
      </c>
      <c r="P168" s="59">
        <f>SUM(P170:P177)</f>
        <v>134691.19999999998</v>
      </c>
      <c r="Q168" s="61">
        <f>SUM(Q170:Q177)</f>
        <v>8597.3000000000102</v>
      </c>
      <c r="R168" s="62">
        <f>R169</f>
        <v>1.6</v>
      </c>
      <c r="S168" s="59"/>
      <c r="T168" s="59">
        <f>T169</f>
        <v>40000</v>
      </c>
      <c r="U168" s="59">
        <f>U169</f>
        <v>37600</v>
      </c>
      <c r="V168" s="61">
        <f>V169</f>
        <v>2400</v>
      </c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</row>
    <row r="169" spans="1:42" ht="35.25" customHeight="1">
      <c r="A169" s="65">
        <v>116</v>
      </c>
      <c r="B169" s="66" t="s">
        <v>146</v>
      </c>
      <c r="C169" s="67">
        <v>1.2070000000000001</v>
      </c>
      <c r="D169" s="69"/>
      <c r="E169" s="69">
        <v>40000</v>
      </c>
      <c r="F169" s="69">
        <v>37600</v>
      </c>
      <c r="G169" s="69">
        <v>2400</v>
      </c>
      <c r="H169" s="59"/>
      <c r="I169" s="59"/>
      <c r="J169" s="59"/>
      <c r="K169" s="59"/>
      <c r="L169" s="77"/>
      <c r="M169" s="77"/>
      <c r="N169" s="77"/>
      <c r="O169" s="59"/>
      <c r="P169" s="59"/>
      <c r="Q169" s="61"/>
      <c r="R169" s="114">
        <v>1.6</v>
      </c>
      <c r="S169" s="74"/>
      <c r="T169" s="69">
        <v>40000</v>
      </c>
      <c r="U169" s="70">
        <f>T169*0.94</f>
        <v>37600</v>
      </c>
      <c r="V169" s="73">
        <f>T169-U169</f>
        <v>2400</v>
      </c>
      <c r="W169" s="4"/>
      <c r="X169" s="4"/>
      <c r="Y169" s="4"/>
      <c r="Z169" s="4" t="s">
        <v>93</v>
      </c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</row>
    <row r="170" spans="1:42" ht="29.25" customHeight="1">
      <c r="A170" s="65">
        <v>117</v>
      </c>
      <c r="B170" s="66" t="s">
        <v>147</v>
      </c>
      <c r="C170" s="67"/>
      <c r="D170" s="69"/>
      <c r="E170" s="69"/>
      <c r="F170" s="69"/>
      <c r="G170" s="69"/>
      <c r="H170" s="59"/>
      <c r="I170" s="59"/>
      <c r="J170" s="59"/>
      <c r="K170" s="59"/>
      <c r="L170" s="77"/>
      <c r="M170" s="67">
        <v>1.752</v>
      </c>
      <c r="N170" s="67"/>
      <c r="O170" s="69">
        <v>23504.47</v>
      </c>
      <c r="P170" s="69">
        <f>O170*0.94</f>
        <v>22094.201799999999</v>
      </c>
      <c r="Q170" s="73">
        <f t="shared" ref="Q170:Q177" si="15">O170-P170</f>
        <v>1410.2682000000023</v>
      </c>
      <c r="R170" s="114"/>
      <c r="S170" s="74"/>
      <c r="T170" s="69"/>
      <c r="U170" s="70"/>
      <c r="V170" s="73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</row>
    <row r="171" spans="1:42" ht="30.75" customHeight="1">
      <c r="A171" s="65">
        <v>118</v>
      </c>
      <c r="B171" s="66" t="s">
        <v>148</v>
      </c>
      <c r="C171" s="67"/>
      <c r="D171" s="69"/>
      <c r="E171" s="69"/>
      <c r="F171" s="69"/>
      <c r="G171" s="69"/>
      <c r="H171" s="59"/>
      <c r="I171" s="59"/>
      <c r="J171" s="59"/>
      <c r="K171" s="59"/>
      <c r="L171" s="77"/>
      <c r="M171" s="67">
        <v>1.3</v>
      </c>
      <c r="N171" s="77"/>
      <c r="O171" s="69">
        <v>19487</v>
      </c>
      <c r="P171" s="69">
        <f>O171*0.94</f>
        <v>18317.78</v>
      </c>
      <c r="Q171" s="73">
        <f t="shared" si="15"/>
        <v>1169.2200000000012</v>
      </c>
      <c r="R171" s="114"/>
      <c r="S171" s="74"/>
      <c r="T171" s="69"/>
      <c r="U171" s="70"/>
      <c r="V171" s="73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</row>
    <row r="172" spans="1:42" ht="27" customHeight="1">
      <c r="A172" s="65">
        <v>119</v>
      </c>
      <c r="B172" s="66" t="s">
        <v>149</v>
      </c>
      <c r="C172" s="67"/>
      <c r="D172" s="69"/>
      <c r="E172" s="69"/>
      <c r="F172" s="69"/>
      <c r="G172" s="69"/>
      <c r="H172" s="59"/>
      <c r="I172" s="59"/>
      <c r="J172" s="59"/>
      <c r="K172" s="59"/>
      <c r="L172" s="77"/>
      <c r="M172" s="67">
        <v>0.81</v>
      </c>
      <c r="N172" s="77"/>
      <c r="O172" s="69">
        <v>15903.17</v>
      </c>
      <c r="P172" s="69">
        <f>O172*0.94</f>
        <v>14948.979799999999</v>
      </c>
      <c r="Q172" s="73">
        <f t="shared" si="15"/>
        <v>954.19020000000091</v>
      </c>
      <c r="R172" s="114"/>
      <c r="S172" s="74"/>
      <c r="T172" s="69"/>
      <c r="U172" s="70"/>
      <c r="V172" s="73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</row>
    <row r="173" spans="1:42" ht="45" customHeight="1">
      <c r="A173" s="65">
        <v>120</v>
      </c>
      <c r="B173" s="66" t="s">
        <v>150</v>
      </c>
      <c r="C173" s="67"/>
      <c r="D173" s="69"/>
      <c r="E173" s="69"/>
      <c r="F173" s="69"/>
      <c r="G173" s="69"/>
      <c r="H173" s="59"/>
      <c r="I173" s="59"/>
      <c r="J173" s="59"/>
      <c r="K173" s="59"/>
      <c r="L173" s="77"/>
      <c r="M173" s="67">
        <v>1.8</v>
      </c>
      <c r="N173" s="77"/>
      <c r="O173" s="69">
        <f>24996.102-0.512</f>
        <v>24995.59</v>
      </c>
      <c r="P173" s="151">
        <f>O173*0.94+0.01</f>
        <v>23495.864599999997</v>
      </c>
      <c r="Q173" s="152">
        <f t="shared" si="15"/>
        <v>1499.725400000003</v>
      </c>
      <c r="R173" s="114"/>
      <c r="S173" s="74"/>
      <c r="T173" s="69"/>
      <c r="U173" s="70"/>
      <c r="V173" s="73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</row>
    <row r="174" spans="1:42" ht="44.25" customHeight="1">
      <c r="A174" s="65">
        <v>121</v>
      </c>
      <c r="B174" s="66" t="s">
        <v>151</v>
      </c>
      <c r="C174" s="67"/>
      <c r="D174" s="69"/>
      <c r="E174" s="69"/>
      <c r="F174" s="69"/>
      <c r="G174" s="69"/>
      <c r="H174" s="59"/>
      <c r="I174" s="59"/>
      <c r="J174" s="59"/>
      <c r="K174" s="59"/>
      <c r="L174" s="77"/>
      <c r="M174" s="67">
        <v>0.88</v>
      </c>
      <c r="N174" s="77"/>
      <c r="O174" s="69">
        <v>8833.34</v>
      </c>
      <c r="P174" s="69">
        <f>O174*0.94</f>
        <v>8303.3395999999993</v>
      </c>
      <c r="Q174" s="73">
        <f t="shared" si="15"/>
        <v>530.00040000000081</v>
      </c>
      <c r="R174" s="114"/>
      <c r="S174" s="74"/>
      <c r="T174" s="69"/>
      <c r="U174" s="70"/>
      <c r="V174" s="73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</row>
    <row r="175" spans="1:42" ht="27" customHeight="1">
      <c r="A175" s="65">
        <v>122</v>
      </c>
      <c r="B175" s="66" t="s">
        <v>152</v>
      </c>
      <c r="C175" s="67"/>
      <c r="D175" s="69"/>
      <c r="E175" s="69"/>
      <c r="F175" s="69"/>
      <c r="G175" s="69"/>
      <c r="H175" s="59"/>
      <c r="I175" s="59"/>
      <c r="J175" s="59"/>
      <c r="K175" s="59"/>
      <c r="L175" s="77"/>
      <c r="M175" s="67">
        <v>0.32</v>
      </c>
      <c r="N175" s="77"/>
      <c r="O175" s="69">
        <v>7716.35</v>
      </c>
      <c r="P175" s="69">
        <f>O175*0.94</f>
        <v>7253.3689999999997</v>
      </c>
      <c r="Q175" s="73">
        <f t="shared" si="15"/>
        <v>462.98100000000068</v>
      </c>
      <c r="R175" s="114"/>
      <c r="S175" s="74"/>
      <c r="T175" s="69"/>
      <c r="U175" s="70"/>
      <c r="V175" s="73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</row>
    <row r="176" spans="1:42" ht="27" customHeight="1">
      <c r="A176" s="65">
        <v>123</v>
      </c>
      <c r="B176" s="66" t="s">
        <v>153</v>
      </c>
      <c r="C176" s="67"/>
      <c r="D176" s="69"/>
      <c r="E176" s="69"/>
      <c r="F176" s="69"/>
      <c r="G176" s="69"/>
      <c r="H176" s="59"/>
      <c r="I176" s="59"/>
      <c r="J176" s="59"/>
      <c r="K176" s="59"/>
      <c r="L176" s="77"/>
      <c r="M176" s="67">
        <v>1.01</v>
      </c>
      <c r="N176" s="77"/>
      <c r="O176" s="69">
        <v>13801.32</v>
      </c>
      <c r="P176" s="69">
        <f>O176*0.94</f>
        <v>12973.2408</v>
      </c>
      <c r="Q176" s="73">
        <f t="shared" si="15"/>
        <v>828.07920000000013</v>
      </c>
      <c r="R176" s="114"/>
      <c r="S176" s="74"/>
      <c r="T176" s="69"/>
      <c r="U176" s="70"/>
      <c r="V176" s="73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</row>
    <row r="177" spans="1:42" ht="32.25" customHeight="1">
      <c r="A177" s="65">
        <v>124</v>
      </c>
      <c r="B177" s="66" t="s">
        <v>154</v>
      </c>
      <c r="C177" s="67"/>
      <c r="D177" s="69"/>
      <c r="E177" s="69"/>
      <c r="F177" s="69"/>
      <c r="G177" s="69"/>
      <c r="H177" s="59"/>
      <c r="I177" s="59"/>
      <c r="J177" s="59"/>
      <c r="K177" s="59"/>
      <c r="L177" s="77"/>
      <c r="M177" s="67">
        <v>1.1499999999999999</v>
      </c>
      <c r="N177" s="77"/>
      <c r="O177" s="67">
        <v>29047.26</v>
      </c>
      <c r="P177" s="69">
        <f>O177*0.94</f>
        <v>27304.424399999996</v>
      </c>
      <c r="Q177" s="73">
        <f t="shared" si="15"/>
        <v>1742.8356000000022</v>
      </c>
      <c r="R177" s="114"/>
      <c r="S177" s="74"/>
      <c r="T177" s="69"/>
      <c r="U177" s="70"/>
      <c r="V177" s="73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</row>
    <row r="178" spans="1:42" ht="30" hidden="1" customHeight="1">
      <c r="A178" s="65"/>
      <c r="B178" s="66"/>
      <c r="C178" s="67"/>
      <c r="D178" s="69"/>
      <c r="E178" s="69"/>
      <c r="F178" s="69"/>
      <c r="G178" s="69"/>
      <c r="H178" s="59"/>
      <c r="I178" s="59"/>
      <c r="J178" s="59"/>
      <c r="K178" s="59"/>
      <c r="L178" s="77"/>
      <c r="M178" s="77"/>
      <c r="N178" s="77"/>
      <c r="O178" s="77"/>
      <c r="P178" s="77"/>
      <c r="Q178" s="146"/>
      <c r="R178" s="114"/>
      <c r="S178" s="74"/>
      <c r="T178" s="69"/>
      <c r="U178" s="70"/>
      <c r="V178" s="73"/>
      <c r="W178" s="4"/>
      <c r="X178" s="4"/>
      <c r="Y178" s="4"/>
      <c r="Z178" s="4"/>
      <c r="AA178" s="4"/>
      <c r="AB178" s="4" t="s">
        <v>16</v>
      </c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</row>
    <row r="179" spans="1:42" ht="27" hidden="1" customHeight="1">
      <c r="A179" s="65"/>
      <c r="B179" s="58" t="s">
        <v>155</v>
      </c>
      <c r="C179" s="56"/>
      <c r="D179" s="56"/>
      <c r="E179" s="56"/>
      <c r="F179" s="56"/>
      <c r="G179" s="56"/>
      <c r="H179" s="133"/>
      <c r="I179" s="56"/>
      <c r="J179" s="56"/>
      <c r="K179" s="56"/>
      <c r="L179" s="56"/>
      <c r="M179" s="56"/>
      <c r="N179" s="56"/>
      <c r="O179" s="56"/>
      <c r="P179" s="56"/>
      <c r="Q179" s="120"/>
      <c r="R179" s="79"/>
      <c r="S179" s="79"/>
      <c r="T179" s="97"/>
      <c r="U179" s="99"/>
      <c r="V179" s="52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</row>
    <row r="180" spans="1:42" ht="27" hidden="1" customHeight="1">
      <c r="A180" s="65"/>
      <c r="B180" s="58"/>
      <c r="C180" s="56"/>
      <c r="D180" s="56"/>
      <c r="E180" s="56"/>
      <c r="F180" s="56"/>
      <c r="G180" s="56"/>
      <c r="H180" s="133"/>
      <c r="I180" s="56"/>
      <c r="J180" s="56"/>
      <c r="K180" s="56"/>
      <c r="L180" s="56"/>
      <c r="M180" s="56"/>
      <c r="N180" s="56"/>
      <c r="O180" s="56"/>
      <c r="P180" s="56"/>
      <c r="Q180" s="120"/>
      <c r="R180" s="79"/>
      <c r="S180" s="79"/>
      <c r="T180" s="97"/>
      <c r="U180" s="99"/>
      <c r="V180" s="52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</row>
    <row r="181" spans="1:42" ht="27.75" customHeight="1">
      <c r="A181" s="65"/>
      <c r="B181" s="58" t="s">
        <v>156</v>
      </c>
      <c r="C181" s="59">
        <f>C182+C183+C184+C185</f>
        <v>19.717999999999996</v>
      </c>
      <c r="D181" s="59"/>
      <c r="E181" s="59">
        <f>SUM(E182:E185)</f>
        <v>406351.12902999995</v>
      </c>
      <c r="F181" s="59">
        <f>SUM(F182:F185)</f>
        <v>377906.5</v>
      </c>
      <c r="G181" s="59">
        <f>SUM(G182:G185)</f>
        <v>28444.629029999996</v>
      </c>
      <c r="H181" s="59">
        <f>H186+H188</f>
        <v>13.208</v>
      </c>
      <c r="I181" s="59"/>
      <c r="J181" s="59">
        <f>J186+J188</f>
        <v>195621.19999999998</v>
      </c>
      <c r="K181" s="59">
        <f>K186+K188</f>
        <v>181927.7</v>
      </c>
      <c r="L181" s="59">
        <f>L186+L188</f>
        <v>13693.499999999985</v>
      </c>
      <c r="M181" s="59"/>
      <c r="N181" s="59"/>
      <c r="O181" s="59"/>
      <c r="P181" s="59"/>
      <c r="Q181" s="61"/>
      <c r="R181" s="62" t="e">
        <f>#REF!+#REF!</f>
        <v>#REF!</v>
      </c>
      <c r="S181" s="59"/>
      <c r="T181" s="59" t="e">
        <f>#REF!+#REF!</f>
        <v>#REF!</v>
      </c>
      <c r="U181" s="59" t="e">
        <f>#REF!+#REF!</f>
        <v>#REF!</v>
      </c>
      <c r="V181" s="61" t="e">
        <f>#REF!+#REF!</f>
        <v>#REF!</v>
      </c>
      <c r="W181" s="4"/>
      <c r="X181" s="4" t="s">
        <v>157</v>
      </c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</row>
    <row r="182" spans="1:42" ht="30.75" customHeight="1">
      <c r="A182" s="65">
        <v>125</v>
      </c>
      <c r="B182" s="110" t="s">
        <v>158</v>
      </c>
      <c r="C182" s="67">
        <v>13.448</v>
      </c>
      <c r="D182" s="96"/>
      <c r="E182" s="69">
        <v>275135</v>
      </c>
      <c r="F182" s="69">
        <v>255875.5</v>
      </c>
      <c r="G182" s="69">
        <f>E182-F182</f>
        <v>19259.5</v>
      </c>
      <c r="H182" s="97"/>
      <c r="I182" s="97"/>
      <c r="J182" s="97"/>
      <c r="K182" s="97"/>
      <c r="L182" s="97"/>
      <c r="M182" s="97"/>
      <c r="N182" s="97"/>
      <c r="O182" s="97"/>
      <c r="P182" s="97"/>
      <c r="Q182" s="98"/>
      <c r="R182" s="79"/>
      <c r="S182" s="79"/>
      <c r="T182" s="97"/>
      <c r="U182" s="99"/>
      <c r="V182" s="52"/>
      <c r="W182" s="4"/>
      <c r="X182" s="4"/>
      <c r="Y182" s="4"/>
      <c r="Z182" s="4"/>
      <c r="AA182" s="191" t="s">
        <v>16</v>
      </c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</row>
    <row r="183" spans="1:42" ht="31.5" customHeight="1">
      <c r="A183" s="65">
        <v>126</v>
      </c>
      <c r="B183" s="110" t="s">
        <v>159</v>
      </c>
      <c r="C183" s="67">
        <v>5.3250000000000002</v>
      </c>
      <c r="D183" s="96"/>
      <c r="E183" s="69">
        <v>66700</v>
      </c>
      <c r="F183" s="69">
        <v>62031</v>
      </c>
      <c r="G183" s="69">
        <f>E183-F183</f>
        <v>4669</v>
      </c>
      <c r="H183" s="97"/>
      <c r="I183" s="97"/>
      <c r="J183" s="97"/>
      <c r="K183" s="97"/>
      <c r="L183" s="97"/>
      <c r="M183" s="97"/>
      <c r="N183" s="97"/>
      <c r="O183" s="97"/>
      <c r="P183" s="97"/>
      <c r="Q183" s="98"/>
      <c r="R183" s="79"/>
      <c r="S183" s="79"/>
      <c r="T183" s="97"/>
      <c r="U183" s="99"/>
      <c r="V183" s="52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</row>
    <row r="184" spans="1:42" ht="36" customHeight="1">
      <c r="A184" s="65">
        <v>127</v>
      </c>
      <c r="B184" s="66" t="s">
        <v>160</v>
      </c>
      <c r="C184" s="67">
        <v>0.80100000000000005</v>
      </c>
      <c r="D184" s="96"/>
      <c r="E184" s="69">
        <v>44604.712379999997</v>
      </c>
      <c r="F184" s="69">
        <f>E184*0.93</f>
        <v>41482.3825134</v>
      </c>
      <c r="G184" s="69">
        <f>E184-F184</f>
        <v>3122.3298665999973</v>
      </c>
      <c r="H184" s="97"/>
      <c r="I184" s="97"/>
      <c r="J184" s="97"/>
      <c r="K184" s="97"/>
      <c r="L184" s="97"/>
      <c r="M184" s="97"/>
      <c r="N184" s="97"/>
      <c r="O184" s="97"/>
      <c r="P184" s="97"/>
      <c r="Q184" s="98"/>
      <c r="R184" s="79"/>
      <c r="S184" s="79"/>
      <c r="T184" s="97"/>
      <c r="U184" s="99"/>
      <c r="V184" s="52"/>
      <c r="W184" s="153">
        <f>F184/E184*100</f>
        <v>93</v>
      </c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</row>
    <row r="185" spans="1:42" ht="49.5" customHeight="1">
      <c r="A185" s="38">
        <v>128</v>
      </c>
      <c r="B185" s="66" t="s">
        <v>161</v>
      </c>
      <c r="C185" s="67">
        <v>0.14399999999999999</v>
      </c>
      <c r="D185" s="96"/>
      <c r="E185" s="69">
        <v>19911.416649999999</v>
      </c>
      <c r="F185" s="69">
        <f>60000-F184</f>
        <v>18517.6174866</v>
      </c>
      <c r="G185" s="69">
        <f>E185-F185</f>
        <v>1393.7991633999991</v>
      </c>
      <c r="H185" s="97"/>
      <c r="I185" s="97"/>
      <c r="J185" s="97"/>
      <c r="K185" s="97"/>
      <c r="L185" s="97"/>
      <c r="M185" s="97"/>
      <c r="N185" s="97"/>
      <c r="O185" s="97"/>
      <c r="P185" s="97"/>
      <c r="Q185" s="98"/>
      <c r="R185" s="79"/>
      <c r="S185" s="79"/>
      <c r="T185" s="97"/>
      <c r="U185" s="99"/>
      <c r="V185" s="52"/>
      <c r="W185" s="153">
        <f>F185/E185*100</f>
        <v>93.000000010546714</v>
      </c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</row>
    <row r="186" spans="1:42" ht="45" customHeight="1">
      <c r="A186" s="38">
        <v>129</v>
      </c>
      <c r="B186" s="66" t="s">
        <v>220</v>
      </c>
      <c r="C186" s="67"/>
      <c r="D186" s="96"/>
      <c r="E186" s="69"/>
      <c r="F186" s="69"/>
      <c r="G186" s="69"/>
      <c r="H186" s="67">
        <f>0.816+0.192+0.1</f>
        <v>1.1080000000000001</v>
      </c>
      <c r="I186" s="59"/>
      <c r="J186" s="69">
        <v>22096.9</v>
      </c>
      <c r="K186" s="69">
        <v>20550.099999999999</v>
      </c>
      <c r="L186" s="69">
        <f>J186-K186</f>
        <v>1546.8000000000029</v>
      </c>
      <c r="M186" s="97"/>
      <c r="N186" s="97"/>
      <c r="O186" s="97"/>
      <c r="P186" s="97"/>
      <c r="Q186" s="98"/>
      <c r="R186" s="79"/>
      <c r="S186" s="79"/>
      <c r="T186" s="97"/>
      <c r="U186" s="99"/>
      <c r="V186" s="52"/>
      <c r="W186" s="153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</row>
    <row r="187" spans="1:42" ht="42.75" customHeight="1">
      <c r="A187" s="38"/>
      <c r="B187" s="110" t="s">
        <v>162</v>
      </c>
      <c r="C187" s="67"/>
      <c r="D187" s="96"/>
      <c r="E187" s="69"/>
      <c r="F187" s="69"/>
      <c r="G187" s="69"/>
      <c r="H187" s="67"/>
      <c r="I187" s="59"/>
      <c r="J187" s="69"/>
      <c r="K187" s="69"/>
      <c r="L187" s="69"/>
      <c r="M187" s="97"/>
      <c r="N187" s="97"/>
      <c r="O187" s="97"/>
      <c r="P187" s="97"/>
      <c r="Q187" s="98"/>
      <c r="R187" s="79"/>
      <c r="S187" s="79"/>
      <c r="T187" s="97"/>
      <c r="U187" s="99"/>
      <c r="V187" s="52"/>
      <c r="W187" s="153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</row>
    <row r="188" spans="1:42" ht="65.25" customHeight="1">
      <c r="A188" s="38">
        <v>130</v>
      </c>
      <c r="B188" s="154" t="s">
        <v>221</v>
      </c>
      <c r="C188" s="67"/>
      <c r="D188" s="96"/>
      <c r="E188" s="69"/>
      <c r="F188" s="69"/>
      <c r="G188" s="69"/>
      <c r="H188" s="67">
        <v>12.1</v>
      </c>
      <c r="I188" s="59"/>
      <c r="J188" s="69">
        <f>161290.3+12234</f>
        <v>173524.3</v>
      </c>
      <c r="K188" s="69">
        <f>150000+11377.6</f>
        <v>161377.60000000001</v>
      </c>
      <c r="L188" s="69">
        <f>J188-K188</f>
        <v>12146.699999999983</v>
      </c>
      <c r="M188" s="97"/>
      <c r="N188" s="97"/>
      <c r="O188" s="97"/>
      <c r="P188" s="97"/>
      <c r="Q188" s="98"/>
      <c r="R188" s="79"/>
      <c r="S188" s="79"/>
      <c r="T188" s="97"/>
      <c r="U188" s="99"/>
      <c r="V188" s="52"/>
      <c r="W188" s="153">
        <f>K188/J188*100</f>
        <v>93.000000576288173</v>
      </c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</row>
    <row r="189" spans="1:42" ht="30.75" customHeight="1">
      <c r="A189" s="65"/>
      <c r="B189" s="58" t="s">
        <v>163</v>
      </c>
      <c r="C189" s="59">
        <f>SUM(C190:C198)</f>
        <v>6.28</v>
      </c>
      <c r="D189" s="56"/>
      <c r="E189" s="59">
        <f>SUM(E190:E198)</f>
        <v>79802.3</v>
      </c>
      <c r="F189" s="59">
        <f>SUM(F190:F198)</f>
        <v>75812.199999999983</v>
      </c>
      <c r="G189" s="59">
        <f>SUM(G190:G198)</f>
        <v>3990.1000000000008</v>
      </c>
      <c r="H189" s="67"/>
      <c r="I189" s="59"/>
      <c r="J189" s="69"/>
      <c r="K189" s="69"/>
      <c r="L189" s="69"/>
      <c r="M189" s="97"/>
      <c r="N189" s="97"/>
      <c r="O189" s="97"/>
      <c r="P189" s="97"/>
      <c r="Q189" s="98"/>
      <c r="R189" s="79"/>
      <c r="S189" s="79"/>
      <c r="T189" s="97"/>
      <c r="U189" s="99"/>
      <c r="V189" s="52"/>
      <c r="W189" s="153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</row>
    <row r="190" spans="1:42" ht="27.95" customHeight="1">
      <c r="A190" s="38">
        <v>131</v>
      </c>
      <c r="B190" s="66" t="s">
        <v>164</v>
      </c>
      <c r="C190" s="67">
        <v>0.99</v>
      </c>
      <c r="D190" s="68"/>
      <c r="E190" s="69">
        <v>6598.8067700000001</v>
      </c>
      <c r="F190" s="69">
        <f>E190*0.95</f>
        <v>6268.8664314999996</v>
      </c>
      <c r="G190" s="69">
        <f t="shared" ref="G190:G198" si="16">E190-F190</f>
        <v>329.94033850000051</v>
      </c>
      <c r="H190" s="67"/>
      <c r="I190" s="59"/>
      <c r="J190" s="69"/>
      <c r="K190" s="69"/>
      <c r="L190" s="69"/>
      <c r="M190" s="97"/>
      <c r="N190" s="97"/>
      <c r="O190" s="97"/>
      <c r="P190" s="97"/>
      <c r="Q190" s="98"/>
      <c r="R190" s="79"/>
      <c r="S190" s="79"/>
      <c r="T190" s="97"/>
      <c r="U190" s="99"/>
      <c r="V190" s="52"/>
      <c r="W190" s="153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</row>
    <row r="191" spans="1:42" ht="27.95" customHeight="1">
      <c r="A191" s="38">
        <v>132</v>
      </c>
      <c r="B191" s="66" t="s">
        <v>165</v>
      </c>
      <c r="C191" s="67">
        <v>0.53</v>
      </c>
      <c r="D191" s="68"/>
      <c r="E191" s="69">
        <v>3236.7590599999999</v>
      </c>
      <c r="F191" s="69">
        <f>E191*0.95</f>
        <v>3074.9211069999997</v>
      </c>
      <c r="G191" s="69">
        <f t="shared" si="16"/>
        <v>161.8379530000002</v>
      </c>
      <c r="H191" s="67"/>
      <c r="I191" s="59"/>
      <c r="J191" s="69"/>
      <c r="K191" s="69"/>
      <c r="L191" s="69"/>
      <c r="M191" s="97"/>
      <c r="N191" s="97"/>
      <c r="O191" s="97"/>
      <c r="P191" s="97"/>
      <c r="Q191" s="98"/>
      <c r="R191" s="79"/>
      <c r="S191" s="79"/>
      <c r="T191" s="97"/>
      <c r="U191" s="99"/>
      <c r="V191" s="52"/>
      <c r="W191" s="153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</row>
    <row r="192" spans="1:42" ht="27.95" customHeight="1">
      <c r="A192" s="65">
        <v>133</v>
      </c>
      <c r="B192" s="66" t="s">
        <v>166</v>
      </c>
      <c r="C192" s="67">
        <v>0.12</v>
      </c>
      <c r="D192" s="68"/>
      <c r="E192" s="69">
        <v>1582.6567299999999</v>
      </c>
      <c r="F192" s="69">
        <f>E192*0.95+0.015</f>
        <v>1503.5388934999999</v>
      </c>
      <c r="G192" s="69">
        <f t="shared" si="16"/>
        <v>79.117836500000067</v>
      </c>
      <c r="H192" s="67"/>
      <c r="I192" s="59"/>
      <c r="J192" s="69"/>
      <c r="K192" s="69"/>
      <c r="L192" s="69"/>
      <c r="M192" s="97"/>
      <c r="N192" s="97"/>
      <c r="O192" s="97"/>
      <c r="P192" s="97"/>
      <c r="Q192" s="98"/>
      <c r="R192" s="79"/>
      <c r="S192" s="79"/>
      <c r="T192" s="97"/>
      <c r="U192" s="99"/>
      <c r="V192" s="52"/>
      <c r="W192" s="153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</row>
    <row r="193" spans="1:42" ht="27.95" customHeight="1">
      <c r="A193" s="38">
        <v>134</v>
      </c>
      <c r="B193" s="66" t="s">
        <v>167</v>
      </c>
      <c r="C193" s="67">
        <v>0.34</v>
      </c>
      <c r="D193" s="68"/>
      <c r="E193" s="69">
        <v>3106.34049</v>
      </c>
      <c r="F193" s="69">
        <f t="shared" ref="F193:F198" si="17">E193*0.95</f>
        <v>2951.0234654999999</v>
      </c>
      <c r="G193" s="69">
        <f t="shared" si="16"/>
        <v>155.31702450000012</v>
      </c>
      <c r="H193" s="67"/>
      <c r="I193" s="59"/>
      <c r="J193" s="69"/>
      <c r="K193" s="69"/>
      <c r="L193" s="69"/>
      <c r="M193" s="97"/>
      <c r="N193" s="97"/>
      <c r="O193" s="97"/>
      <c r="P193" s="97"/>
      <c r="Q193" s="98"/>
      <c r="R193" s="79"/>
      <c r="S193" s="79"/>
      <c r="T193" s="97"/>
      <c r="U193" s="99"/>
      <c r="V193" s="52"/>
      <c r="W193" s="153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</row>
    <row r="194" spans="1:42" ht="27.95" customHeight="1">
      <c r="A194" s="38">
        <v>135</v>
      </c>
      <c r="B194" s="66" t="s">
        <v>168</v>
      </c>
      <c r="C194" s="67">
        <v>0.81</v>
      </c>
      <c r="D194" s="68"/>
      <c r="E194" s="69">
        <v>9468.4413399999994</v>
      </c>
      <c r="F194" s="69">
        <f t="shared" si="17"/>
        <v>8995.0192729999999</v>
      </c>
      <c r="G194" s="69">
        <f t="shared" si="16"/>
        <v>473.42206699999952</v>
      </c>
      <c r="H194" s="67"/>
      <c r="I194" s="59"/>
      <c r="J194" s="69"/>
      <c r="K194" s="69"/>
      <c r="L194" s="69"/>
      <c r="M194" s="97"/>
      <c r="N194" s="97"/>
      <c r="O194" s="97"/>
      <c r="P194" s="97"/>
      <c r="Q194" s="98"/>
      <c r="R194" s="79"/>
      <c r="S194" s="79"/>
      <c r="T194" s="97"/>
      <c r="U194" s="99"/>
      <c r="V194" s="52"/>
      <c r="W194" s="153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</row>
    <row r="195" spans="1:42" ht="27.95" customHeight="1">
      <c r="A195" s="38">
        <v>136</v>
      </c>
      <c r="B195" s="66" t="s">
        <v>169</v>
      </c>
      <c r="C195" s="67">
        <v>1.07</v>
      </c>
      <c r="D195" s="68"/>
      <c r="E195" s="69">
        <v>16883.914860000001</v>
      </c>
      <c r="F195" s="69">
        <f t="shared" si="17"/>
        <v>16039.719117000001</v>
      </c>
      <c r="G195" s="69">
        <f t="shared" si="16"/>
        <v>844.19574300000022</v>
      </c>
      <c r="H195" s="67"/>
      <c r="I195" s="59"/>
      <c r="J195" s="69"/>
      <c r="K195" s="69"/>
      <c r="L195" s="69"/>
      <c r="M195" s="97"/>
      <c r="N195" s="97"/>
      <c r="O195" s="97"/>
      <c r="P195" s="97"/>
      <c r="Q195" s="98"/>
      <c r="R195" s="79"/>
      <c r="S195" s="79"/>
      <c r="T195" s="97"/>
      <c r="U195" s="99"/>
      <c r="V195" s="52"/>
      <c r="W195" s="153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</row>
    <row r="196" spans="1:42" ht="27.95" customHeight="1">
      <c r="A196" s="38">
        <v>137</v>
      </c>
      <c r="B196" s="66" t="s">
        <v>170</v>
      </c>
      <c r="C196" s="67">
        <v>0.39</v>
      </c>
      <c r="D196" s="68"/>
      <c r="E196" s="69">
        <v>6316.1760800000002</v>
      </c>
      <c r="F196" s="69">
        <f t="shared" si="17"/>
        <v>6000.3672759999999</v>
      </c>
      <c r="G196" s="69">
        <f t="shared" si="16"/>
        <v>315.80880400000024</v>
      </c>
      <c r="H196" s="67"/>
      <c r="I196" s="59"/>
      <c r="J196" s="69"/>
      <c r="K196" s="69"/>
      <c r="L196" s="69"/>
      <c r="M196" s="97"/>
      <c r="N196" s="97"/>
      <c r="O196" s="97"/>
      <c r="P196" s="97"/>
      <c r="Q196" s="98"/>
      <c r="R196" s="79"/>
      <c r="S196" s="79"/>
      <c r="T196" s="97"/>
      <c r="U196" s="99"/>
      <c r="V196" s="52"/>
      <c r="W196" s="153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</row>
    <row r="197" spans="1:42" ht="27.95" customHeight="1">
      <c r="A197" s="65">
        <v>138</v>
      </c>
      <c r="B197" s="66" t="s">
        <v>171</v>
      </c>
      <c r="C197" s="67">
        <v>1.41</v>
      </c>
      <c r="D197" s="68"/>
      <c r="E197" s="69">
        <v>27708.08396</v>
      </c>
      <c r="F197" s="69">
        <f t="shared" si="17"/>
        <v>26322.679762</v>
      </c>
      <c r="G197" s="69">
        <f t="shared" si="16"/>
        <v>1385.4041980000002</v>
      </c>
      <c r="H197" s="67"/>
      <c r="I197" s="59"/>
      <c r="J197" s="69"/>
      <c r="K197" s="69"/>
      <c r="L197" s="69"/>
      <c r="M197" s="97"/>
      <c r="N197" s="97"/>
      <c r="O197" s="97"/>
      <c r="P197" s="97"/>
      <c r="Q197" s="98"/>
      <c r="R197" s="79"/>
      <c r="S197" s="79"/>
      <c r="T197" s="97"/>
      <c r="U197" s="99"/>
      <c r="V197" s="52"/>
      <c r="W197" s="153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</row>
    <row r="198" spans="1:42" ht="27.95" customHeight="1">
      <c r="A198" s="65">
        <v>139</v>
      </c>
      <c r="B198" s="66" t="s">
        <v>172</v>
      </c>
      <c r="C198" s="67">
        <v>0.62</v>
      </c>
      <c r="D198" s="68"/>
      <c r="E198" s="69">
        <v>4901.1207100000001</v>
      </c>
      <c r="F198" s="69">
        <f t="shared" si="17"/>
        <v>4656.0646745000004</v>
      </c>
      <c r="G198" s="69">
        <f t="shared" si="16"/>
        <v>245.05603549999978</v>
      </c>
      <c r="H198" s="67"/>
      <c r="I198" s="59"/>
      <c r="J198" s="69"/>
      <c r="K198" s="69"/>
      <c r="L198" s="69"/>
      <c r="M198" s="97"/>
      <c r="N198" s="97"/>
      <c r="O198" s="97"/>
      <c r="P198" s="97"/>
      <c r="Q198" s="98"/>
      <c r="R198" s="79"/>
      <c r="S198" s="79"/>
      <c r="T198" s="97"/>
      <c r="U198" s="99"/>
      <c r="V198" s="52"/>
      <c r="W198" s="153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</row>
    <row r="199" spans="1:42" ht="33" customHeight="1">
      <c r="A199" s="38"/>
      <c r="B199" s="86" t="s">
        <v>173</v>
      </c>
      <c r="C199" s="59">
        <f>SUM(C200:C208)</f>
        <v>4.9347000000000003</v>
      </c>
      <c r="D199" s="56"/>
      <c r="E199" s="59">
        <f>SUM(E200:E208)</f>
        <v>54038</v>
      </c>
      <c r="F199" s="59">
        <f>SUM(F200:F208)</f>
        <v>50795.700000000004</v>
      </c>
      <c r="G199" s="59">
        <f>SUM(G200:G208)</f>
        <v>3242.2999999999984</v>
      </c>
      <c r="H199" s="59"/>
      <c r="I199" s="59"/>
      <c r="J199" s="59"/>
      <c r="K199" s="59"/>
      <c r="L199" s="59"/>
      <c r="M199" s="59"/>
      <c r="N199" s="59"/>
      <c r="O199" s="59"/>
      <c r="P199" s="59"/>
      <c r="Q199" s="61"/>
      <c r="R199" s="62" t="e">
        <f>R201+#REF!</f>
        <v>#REF!</v>
      </c>
      <c r="S199" s="62"/>
      <c r="T199" s="59" t="e">
        <f>T201+#REF!</f>
        <v>#REF!</v>
      </c>
      <c r="U199" s="60" t="e">
        <f>U201+#REF!</f>
        <v>#REF!</v>
      </c>
      <c r="V199" s="61" t="e">
        <f>V201+#REF!</f>
        <v>#REF!</v>
      </c>
      <c r="W199" s="4"/>
      <c r="X199" s="4"/>
      <c r="Y199" s="4" t="s">
        <v>16</v>
      </c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</row>
    <row r="200" spans="1:42" ht="27.95" customHeight="1">
      <c r="A200" s="65">
        <v>140</v>
      </c>
      <c r="B200" s="110" t="s">
        <v>174</v>
      </c>
      <c r="C200" s="67">
        <v>0.78</v>
      </c>
      <c r="D200" s="56"/>
      <c r="E200" s="69">
        <v>12372.75</v>
      </c>
      <c r="F200" s="69">
        <v>11630.385</v>
      </c>
      <c r="G200" s="69">
        <f t="shared" ref="G200:G208" si="18">E200-F200</f>
        <v>742.36499999999978</v>
      </c>
      <c r="H200" s="59"/>
      <c r="I200" s="59"/>
      <c r="J200" s="59"/>
      <c r="K200" s="59"/>
      <c r="L200" s="59"/>
      <c r="M200" s="59"/>
      <c r="N200" s="59"/>
      <c r="O200" s="59"/>
      <c r="P200" s="59"/>
      <c r="Q200" s="61"/>
      <c r="R200" s="62"/>
      <c r="S200" s="62"/>
      <c r="T200" s="59"/>
      <c r="U200" s="60"/>
      <c r="V200" s="61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</row>
    <row r="201" spans="1:42" ht="27.95" customHeight="1">
      <c r="A201" s="65">
        <v>141</v>
      </c>
      <c r="B201" s="110" t="s">
        <v>175</v>
      </c>
      <c r="C201" s="67">
        <v>0.18</v>
      </c>
      <c r="D201" s="96"/>
      <c r="E201" s="69">
        <v>2612.3604</v>
      </c>
      <c r="F201" s="69">
        <v>2455.6187799999998</v>
      </c>
      <c r="G201" s="69">
        <f t="shared" si="18"/>
        <v>156.74162000000024</v>
      </c>
      <c r="H201" s="155"/>
      <c r="I201" s="59"/>
      <c r="J201" s="59"/>
      <c r="K201" s="59"/>
      <c r="L201" s="97"/>
      <c r="M201" s="97"/>
      <c r="N201" s="97"/>
      <c r="O201" s="97"/>
      <c r="P201" s="97"/>
      <c r="Q201" s="98"/>
      <c r="R201" s="121">
        <v>9.4879999999999995</v>
      </c>
      <c r="S201" s="156"/>
      <c r="T201" s="59">
        <v>132500</v>
      </c>
      <c r="U201" s="60">
        <f>T201</f>
        <v>132500</v>
      </c>
      <c r="V201" s="61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</row>
    <row r="202" spans="1:42" ht="27.95" customHeight="1">
      <c r="A202" s="65">
        <v>142</v>
      </c>
      <c r="B202" s="110" t="s">
        <v>176</v>
      </c>
      <c r="C202" s="67">
        <f>0.6504+0.22</f>
        <v>0.87039999999999995</v>
      </c>
      <c r="D202" s="96"/>
      <c r="E202" s="69">
        <v>17967.313999999998</v>
      </c>
      <c r="F202" s="69">
        <v>16889.275160000001</v>
      </c>
      <c r="G202" s="69">
        <f t="shared" si="18"/>
        <v>1078.0388399999974</v>
      </c>
      <c r="H202" s="155"/>
      <c r="I202" s="59"/>
      <c r="J202" s="59"/>
      <c r="K202" s="59"/>
      <c r="L202" s="97"/>
      <c r="M202" s="97"/>
      <c r="N202" s="97"/>
      <c r="O202" s="97"/>
      <c r="P202" s="97"/>
      <c r="Q202" s="98"/>
      <c r="R202" s="121"/>
      <c r="S202" s="156"/>
      <c r="T202" s="59"/>
      <c r="U202" s="60"/>
      <c r="V202" s="61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</row>
    <row r="203" spans="1:42" ht="27.95" customHeight="1">
      <c r="A203" s="65">
        <v>143</v>
      </c>
      <c r="B203" s="110" t="s">
        <v>177</v>
      </c>
      <c r="C203" s="67">
        <v>0.65</v>
      </c>
      <c r="D203" s="96"/>
      <c r="E203" s="69">
        <v>1850.4375</v>
      </c>
      <c r="F203" s="69">
        <v>1739.4112500000001</v>
      </c>
      <c r="G203" s="69">
        <f t="shared" si="18"/>
        <v>111.02624999999989</v>
      </c>
      <c r="H203" s="155"/>
      <c r="I203" s="59"/>
      <c r="J203" s="59"/>
      <c r="K203" s="59"/>
      <c r="L203" s="97"/>
      <c r="M203" s="97"/>
      <c r="N203" s="97"/>
      <c r="O203" s="97"/>
      <c r="P203" s="97"/>
      <c r="Q203" s="98"/>
      <c r="R203" s="121"/>
      <c r="S203" s="156"/>
      <c r="T203" s="59"/>
      <c r="U203" s="60"/>
      <c r="V203" s="61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</row>
    <row r="204" spans="1:42" ht="27.95" customHeight="1">
      <c r="A204" s="65">
        <v>144</v>
      </c>
      <c r="B204" s="110" t="s">
        <v>178</v>
      </c>
      <c r="C204" s="67">
        <v>0.85</v>
      </c>
      <c r="D204" s="96"/>
      <c r="E204" s="69">
        <v>4919.4498000000003</v>
      </c>
      <c r="F204" s="69">
        <v>4624.28</v>
      </c>
      <c r="G204" s="69">
        <f t="shared" si="18"/>
        <v>295.16980000000058</v>
      </c>
      <c r="H204" s="67"/>
      <c r="I204" s="59"/>
      <c r="J204" s="59"/>
      <c r="K204" s="59"/>
      <c r="L204" s="97"/>
      <c r="M204" s="97"/>
      <c r="N204" s="97"/>
      <c r="O204" s="97"/>
      <c r="P204" s="97"/>
      <c r="Q204" s="98"/>
      <c r="R204" s="121"/>
      <c r="S204" s="156"/>
      <c r="T204" s="59"/>
      <c r="U204" s="60"/>
      <c r="V204" s="61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</row>
    <row r="205" spans="1:42" ht="27.95" customHeight="1">
      <c r="A205" s="65">
        <v>145</v>
      </c>
      <c r="B205" s="110" t="s">
        <v>179</v>
      </c>
      <c r="C205" s="67">
        <v>0.11</v>
      </c>
      <c r="D205" s="96"/>
      <c r="E205" s="69">
        <v>1456.6504</v>
      </c>
      <c r="F205" s="69">
        <v>1369.2513799999999</v>
      </c>
      <c r="G205" s="69">
        <f t="shared" si="18"/>
        <v>87.399020000000064</v>
      </c>
      <c r="H205" s="67"/>
      <c r="I205" s="59"/>
      <c r="J205" s="59"/>
      <c r="K205" s="59"/>
      <c r="L205" s="97"/>
      <c r="M205" s="97"/>
      <c r="N205" s="97"/>
      <c r="O205" s="97"/>
      <c r="P205" s="97"/>
      <c r="Q205" s="98"/>
      <c r="R205" s="121"/>
      <c r="S205" s="156"/>
      <c r="T205" s="59"/>
      <c r="U205" s="60"/>
      <c r="V205" s="61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</row>
    <row r="206" spans="1:42" ht="27.95" customHeight="1">
      <c r="A206" s="65">
        <v>146</v>
      </c>
      <c r="B206" s="110" t="s">
        <v>180</v>
      </c>
      <c r="C206" s="67">
        <v>0.65</v>
      </c>
      <c r="D206" s="96"/>
      <c r="E206" s="69">
        <v>2832.2026000000001</v>
      </c>
      <c r="F206" s="69">
        <v>2662.2704399999998</v>
      </c>
      <c r="G206" s="69">
        <f t="shared" si="18"/>
        <v>169.93216000000029</v>
      </c>
      <c r="H206" s="67"/>
      <c r="I206" s="59"/>
      <c r="J206" s="59"/>
      <c r="K206" s="59"/>
      <c r="L206" s="97"/>
      <c r="M206" s="97"/>
      <c r="N206" s="97"/>
      <c r="O206" s="97"/>
      <c r="P206" s="97"/>
      <c r="Q206" s="98"/>
      <c r="R206" s="121"/>
      <c r="S206" s="156"/>
      <c r="T206" s="59"/>
      <c r="U206" s="60"/>
      <c r="V206" s="61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</row>
    <row r="207" spans="1:42" ht="46.5" customHeight="1">
      <c r="A207" s="65">
        <v>147</v>
      </c>
      <c r="B207" s="110" t="s">
        <v>181</v>
      </c>
      <c r="C207" s="67">
        <v>0.34129999999999999</v>
      </c>
      <c r="D207" s="96"/>
      <c r="E207" s="69">
        <f>2427.91296+0.12234</f>
        <v>2428.0353</v>
      </c>
      <c r="F207" s="69">
        <f>2282.23818+0.09504</f>
        <v>2282.33322</v>
      </c>
      <c r="G207" s="69">
        <f t="shared" si="18"/>
        <v>145.70208000000002</v>
      </c>
      <c r="H207" s="67"/>
      <c r="I207" s="59"/>
      <c r="J207" s="59"/>
      <c r="K207" s="59"/>
      <c r="L207" s="97"/>
      <c r="M207" s="97"/>
      <c r="N207" s="97"/>
      <c r="O207" s="97"/>
      <c r="P207" s="97"/>
      <c r="Q207" s="98"/>
      <c r="R207" s="121"/>
      <c r="S207" s="156"/>
      <c r="T207" s="59"/>
      <c r="U207" s="60"/>
      <c r="V207" s="61"/>
      <c r="W207" s="4"/>
      <c r="X207" s="4"/>
      <c r="Y207" s="4"/>
      <c r="Z207" s="4" t="s">
        <v>7</v>
      </c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</row>
    <row r="208" spans="1:42" ht="30.75" customHeight="1">
      <c r="A208" s="65">
        <v>148</v>
      </c>
      <c r="B208" s="110" t="s">
        <v>182</v>
      </c>
      <c r="C208" s="67">
        <v>0.503</v>
      </c>
      <c r="D208" s="96"/>
      <c r="E208" s="69">
        <v>7598.8</v>
      </c>
      <c r="F208" s="69">
        <v>7142.8747700000004</v>
      </c>
      <c r="G208" s="69">
        <f t="shared" si="18"/>
        <v>455.92522999999983</v>
      </c>
      <c r="H208" s="67"/>
      <c r="I208" s="59"/>
      <c r="J208" s="59"/>
      <c r="K208" s="59"/>
      <c r="L208" s="97"/>
      <c r="M208" s="97"/>
      <c r="N208" s="97"/>
      <c r="O208" s="97"/>
      <c r="P208" s="97"/>
      <c r="Q208" s="98"/>
      <c r="R208" s="121"/>
      <c r="S208" s="156"/>
      <c r="T208" s="59"/>
      <c r="U208" s="60"/>
      <c r="V208" s="61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</row>
    <row r="209" spans="1:42" ht="33" customHeight="1">
      <c r="A209" s="65"/>
      <c r="B209" s="58" t="s">
        <v>183</v>
      </c>
      <c r="C209" s="59">
        <f>C210+C212</f>
        <v>10.979999999999999</v>
      </c>
      <c r="D209" s="106"/>
      <c r="E209" s="59">
        <f>E210+E212</f>
        <v>497511.8</v>
      </c>
      <c r="F209" s="59">
        <f>F210+F212</f>
        <v>462685.97399999999</v>
      </c>
      <c r="G209" s="59">
        <f>G210+G212</f>
        <v>34825.826000000001</v>
      </c>
      <c r="H209" s="59">
        <f>SUM(H225:H226)</f>
        <v>0.15</v>
      </c>
      <c r="I209" s="59">
        <f>SUM(I225:I226)</f>
        <v>343</v>
      </c>
      <c r="J209" s="59">
        <f>SUM(J225:J226)</f>
        <v>428993.5</v>
      </c>
      <c r="K209" s="59">
        <f t="shared" ref="K209:L209" si="19">SUM(K225:K226)</f>
        <v>398964</v>
      </c>
      <c r="L209" s="59">
        <f t="shared" si="19"/>
        <v>30029.500000000022</v>
      </c>
      <c r="M209" s="59"/>
      <c r="N209" s="59">
        <f>N227</f>
        <v>260</v>
      </c>
      <c r="O209" s="59">
        <f>O227</f>
        <v>430107.5</v>
      </c>
      <c r="P209" s="59">
        <f>P227</f>
        <v>400000</v>
      </c>
      <c r="Q209" s="61">
        <f>Q227</f>
        <v>30107.5</v>
      </c>
      <c r="R209" s="62" t="e">
        <f>#REF!+#REF!+#REF!+#REF!</f>
        <v>#REF!</v>
      </c>
      <c r="S209" s="62"/>
      <c r="T209" s="56" t="e">
        <f>#REF!+#REF!+#REF!+#REF!</f>
        <v>#REF!</v>
      </c>
      <c r="U209" s="57" t="e">
        <f>#REF!+#REF!+#REF!+#REF!</f>
        <v>#REF!</v>
      </c>
      <c r="V209" s="120" t="e">
        <f>#REF!+#REF!+#REF!</f>
        <v>#REF!</v>
      </c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</row>
    <row r="210" spans="1:42" ht="42.75" customHeight="1">
      <c r="A210" s="65"/>
      <c r="B210" s="110" t="s">
        <v>184</v>
      </c>
      <c r="C210" s="69">
        <f>C211</f>
        <v>0.1</v>
      </c>
      <c r="D210" s="106"/>
      <c r="E210" s="69">
        <f>E211</f>
        <v>27508.920399999999</v>
      </c>
      <c r="F210" s="69">
        <f>F211</f>
        <v>25583.295979999999</v>
      </c>
      <c r="G210" s="69">
        <f>G211</f>
        <v>1925.6244200000001</v>
      </c>
      <c r="H210" s="59"/>
      <c r="I210" s="59"/>
      <c r="J210" s="59"/>
      <c r="K210" s="59"/>
      <c r="L210" s="59"/>
      <c r="M210" s="59"/>
      <c r="N210" s="59"/>
      <c r="O210" s="59"/>
      <c r="P210" s="59"/>
      <c r="Q210" s="61"/>
      <c r="R210" s="62"/>
      <c r="S210" s="62"/>
      <c r="T210" s="56"/>
      <c r="U210" s="57"/>
      <c r="V210" s="120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</row>
    <row r="211" spans="1:42" ht="44.25" customHeight="1">
      <c r="A211" s="65">
        <v>149</v>
      </c>
      <c r="B211" s="110" t="s">
        <v>185</v>
      </c>
      <c r="C211" s="67">
        <v>0.1</v>
      </c>
      <c r="D211" s="106"/>
      <c r="E211" s="69">
        <v>27508.920399999999</v>
      </c>
      <c r="F211" s="69">
        <v>25583.295979999999</v>
      </c>
      <c r="G211" s="69">
        <f>E211-F211</f>
        <v>1925.6244200000001</v>
      </c>
      <c r="H211" s="59"/>
      <c r="I211" s="59"/>
      <c r="J211" s="59"/>
      <c r="K211" s="59"/>
      <c r="L211" s="59"/>
      <c r="M211" s="59"/>
      <c r="N211" s="59"/>
      <c r="O211" s="59"/>
      <c r="P211" s="59"/>
      <c r="Q211" s="61"/>
      <c r="R211" s="62"/>
      <c r="S211" s="62"/>
      <c r="T211" s="56"/>
      <c r="U211" s="57"/>
      <c r="V211" s="120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</row>
    <row r="212" spans="1:42" ht="44.25" customHeight="1">
      <c r="A212" s="65"/>
      <c r="B212" s="110" t="s">
        <v>222</v>
      </c>
      <c r="C212" s="69">
        <f>0.1+10.78</f>
        <v>10.879999999999999</v>
      </c>
      <c r="D212" s="106"/>
      <c r="E212" s="69">
        <f>60000+437511.8-E211</f>
        <v>470002.87959999999</v>
      </c>
      <c r="F212" s="69">
        <f>462685.974-F211</f>
        <v>437102.67801999999</v>
      </c>
      <c r="G212" s="69">
        <f>34825.826-G211</f>
        <v>32900.201580000001</v>
      </c>
      <c r="H212" s="59"/>
      <c r="I212" s="59"/>
      <c r="J212" s="59"/>
      <c r="K212" s="59"/>
      <c r="L212" s="59"/>
      <c r="M212" s="59"/>
      <c r="N212" s="59"/>
      <c r="O212" s="59"/>
      <c r="P212" s="59"/>
      <c r="Q212" s="61"/>
      <c r="R212" s="62"/>
      <c r="S212" s="62"/>
      <c r="T212" s="56"/>
      <c r="U212" s="57"/>
      <c r="V212" s="120"/>
      <c r="W212" s="148">
        <f>F212-F213</f>
        <v>406885.97399999999</v>
      </c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</row>
    <row r="213" spans="1:42" ht="37.5" customHeight="1">
      <c r="A213" s="65">
        <v>150</v>
      </c>
      <c r="B213" s="110" t="s">
        <v>186</v>
      </c>
      <c r="C213" s="67">
        <v>0.1</v>
      </c>
      <c r="D213" s="106"/>
      <c r="E213" s="69">
        <v>32491.079600000001</v>
      </c>
      <c r="F213" s="69">
        <v>30216.704020000001</v>
      </c>
      <c r="G213" s="69">
        <f t="shared" ref="G213:G224" si="20">E213-F213</f>
        <v>2274.3755799999999</v>
      </c>
      <c r="H213" s="59"/>
      <c r="I213" s="59"/>
      <c r="J213" s="59"/>
      <c r="K213" s="59"/>
      <c r="L213" s="59"/>
      <c r="M213" s="59"/>
      <c r="N213" s="59"/>
      <c r="O213" s="59"/>
      <c r="P213" s="59"/>
      <c r="Q213" s="61"/>
      <c r="R213" s="62"/>
      <c r="S213" s="62"/>
      <c r="T213" s="56"/>
      <c r="U213" s="57"/>
      <c r="V213" s="120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</row>
    <row r="214" spans="1:42" ht="56.25" hidden="1">
      <c r="A214" s="65"/>
      <c r="B214" s="157" t="s">
        <v>187</v>
      </c>
      <c r="C214" s="158">
        <v>0.9</v>
      </c>
      <c r="D214" s="159"/>
      <c r="E214" s="160">
        <v>23377.7</v>
      </c>
      <c r="F214" s="160">
        <f t="shared" ref="F214:F224" si="21">E214*0.93</f>
        <v>21741.261000000002</v>
      </c>
      <c r="G214" s="160">
        <f t="shared" si="20"/>
        <v>1636.4389999999985</v>
      </c>
      <c r="H214" s="59"/>
      <c r="I214" s="59"/>
      <c r="J214" s="59"/>
      <c r="K214" s="59"/>
      <c r="L214" s="59"/>
      <c r="M214" s="59"/>
      <c r="N214" s="59"/>
      <c r="O214" s="59"/>
      <c r="P214" s="59"/>
      <c r="Q214" s="61"/>
      <c r="R214" s="62"/>
      <c r="S214" s="62"/>
      <c r="T214" s="56"/>
      <c r="U214" s="57"/>
      <c r="V214" s="120"/>
      <c r="W214" s="4"/>
      <c r="X214" s="4"/>
      <c r="Y214" s="4"/>
      <c r="Z214" s="4"/>
      <c r="AA214" s="4" t="s">
        <v>36</v>
      </c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</row>
    <row r="215" spans="1:42" ht="37.5" hidden="1">
      <c r="A215" s="161"/>
      <c r="B215" s="162" t="s">
        <v>188</v>
      </c>
      <c r="C215" s="163">
        <v>2.2999999999999998</v>
      </c>
      <c r="D215" s="164"/>
      <c r="E215" s="165">
        <v>98138.3</v>
      </c>
      <c r="F215" s="160">
        <f t="shared" si="21"/>
        <v>91268.619000000006</v>
      </c>
      <c r="G215" s="160">
        <f t="shared" si="20"/>
        <v>6869.6809999999969</v>
      </c>
      <c r="H215" s="166"/>
      <c r="I215" s="166"/>
      <c r="J215" s="166"/>
      <c r="K215" s="166"/>
      <c r="L215" s="166"/>
      <c r="M215" s="166"/>
      <c r="N215" s="166"/>
      <c r="O215" s="166"/>
      <c r="P215" s="166"/>
      <c r="Q215" s="167"/>
      <c r="R215" s="62"/>
      <c r="S215" s="62"/>
      <c r="T215" s="56"/>
      <c r="U215" s="57"/>
      <c r="V215" s="120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</row>
    <row r="216" spans="1:42" ht="37.5" hidden="1">
      <c r="A216" s="161"/>
      <c r="B216" s="162" t="s">
        <v>189</v>
      </c>
      <c r="C216" s="163">
        <v>0.3</v>
      </c>
      <c r="D216" s="164"/>
      <c r="E216" s="165">
        <v>50560</v>
      </c>
      <c r="F216" s="160">
        <f t="shared" si="21"/>
        <v>47020.800000000003</v>
      </c>
      <c r="G216" s="160">
        <f t="shared" si="20"/>
        <v>3539.1999999999971</v>
      </c>
      <c r="H216" s="166"/>
      <c r="I216" s="166"/>
      <c r="J216" s="166"/>
      <c r="K216" s="166"/>
      <c r="L216" s="166"/>
      <c r="M216" s="166"/>
      <c r="N216" s="166"/>
      <c r="O216" s="166"/>
      <c r="P216" s="166"/>
      <c r="Q216" s="167"/>
      <c r="R216" s="62"/>
      <c r="S216" s="62"/>
      <c r="T216" s="56"/>
      <c r="U216" s="57"/>
      <c r="V216" s="120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</row>
    <row r="217" spans="1:42" ht="37.5" hidden="1">
      <c r="A217" s="161"/>
      <c r="B217" s="162" t="s">
        <v>190</v>
      </c>
      <c r="C217" s="163">
        <v>0.23</v>
      </c>
      <c r="D217" s="164"/>
      <c r="E217" s="165">
        <v>20873</v>
      </c>
      <c r="F217" s="160">
        <f t="shared" si="21"/>
        <v>19411.89</v>
      </c>
      <c r="G217" s="160">
        <f t="shared" si="20"/>
        <v>1461.1100000000006</v>
      </c>
      <c r="H217" s="166"/>
      <c r="I217" s="166"/>
      <c r="J217" s="166"/>
      <c r="K217" s="166"/>
      <c r="L217" s="166"/>
      <c r="M217" s="166"/>
      <c r="N217" s="166"/>
      <c r="O217" s="166"/>
      <c r="P217" s="166"/>
      <c r="Q217" s="167"/>
      <c r="R217" s="62"/>
      <c r="S217" s="62"/>
      <c r="T217" s="56"/>
      <c r="U217" s="57"/>
      <c r="V217" s="120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</row>
    <row r="218" spans="1:42" ht="37.5" hidden="1">
      <c r="A218" s="161"/>
      <c r="B218" s="162" t="s">
        <v>191</v>
      </c>
      <c r="C218" s="163">
        <v>0.33</v>
      </c>
      <c r="D218" s="164"/>
      <c r="E218" s="165">
        <v>22015</v>
      </c>
      <c r="F218" s="160">
        <f t="shared" si="21"/>
        <v>20473.95</v>
      </c>
      <c r="G218" s="160">
        <f t="shared" si="20"/>
        <v>1541.0499999999993</v>
      </c>
      <c r="H218" s="166"/>
      <c r="I218" s="166"/>
      <c r="J218" s="166"/>
      <c r="K218" s="166"/>
      <c r="L218" s="166"/>
      <c r="M218" s="166"/>
      <c r="N218" s="166"/>
      <c r="O218" s="166"/>
      <c r="P218" s="166"/>
      <c r="Q218" s="167"/>
      <c r="R218" s="62"/>
      <c r="S218" s="62"/>
      <c r="T218" s="56"/>
      <c r="U218" s="57"/>
      <c r="V218" s="120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</row>
    <row r="219" spans="1:42" ht="25.5" hidden="1" customHeight="1">
      <c r="A219" s="161"/>
      <c r="B219" s="162" t="s">
        <v>192</v>
      </c>
      <c r="C219" s="163">
        <v>1.5</v>
      </c>
      <c r="D219" s="164"/>
      <c r="E219" s="165">
        <v>82408.399999999994</v>
      </c>
      <c r="F219" s="160">
        <f t="shared" si="21"/>
        <v>76639.812000000005</v>
      </c>
      <c r="G219" s="160">
        <f t="shared" si="20"/>
        <v>5768.5879999999888</v>
      </c>
      <c r="H219" s="166"/>
      <c r="I219" s="166"/>
      <c r="J219" s="166"/>
      <c r="K219" s="166"/>
      <c r="L219" s="166"/>
      <c r="M219" s="166"/>
      <c r="N219" s="166"/>
      <c r="O219" s="166"/>
      <c r="P219" s="166"/>
      <c r="Q219" s="167"/>
      <c r="R219" s="62"/>
      <c r="S219" s="62"/>
      <c r="T219" s="56"/>
      <c r="U219" s="57"/>
      <c r="V219" s="120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</row>
    <row r="220" spans="1:42" ht="37.5" hidden="1">
      <c r="A220" s="161"/>
      <c r="B220" s="162" t="s">
        <v>193</v>
      </c>
      <c r="C220" s="163">
        <v>0.8</v>
      </c>
      <c r="D220" s="164"/>
      <c r="E220" s="165">
        <v>48188.5</v>
      </c>
      <c r="F220" s="160">
        <f t="shared" si="21"/>
        <v>44815.305</v>
      </c>
      <c r="G220" s="160">
        <f t="shared" si="20"/>
        <v>3373.1949999999997</v>
      </c>
      <c r="H220" s="166"/>
      <c r="I220" s="166"/>
      <c r="J220" s="166"/>
      <c r="K220" s="166"/>
      <c r="L220" s="166"/>
      <c r="M220" s="166"/>
      <c r="N220" s="166"/>
      <c r="O220" s="166"/>
      <c r="P220" s="166"/>
      <c r="Q220" s="167"/>
      <c r="R220" s="62"/>
      <c r="S220" s="62"/>
      <c r="T220" s="56"/>
      <c r="U220" s="57"/>
      <c r="V220" s="120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</row>
    <row r="221" spans="1:42" ht="37.5" hidden="1">
      <c r="A221" s="161"/>
      <c r="B221" s="162" t="s">
        <v>194</v>
      </c>
      <c r="C221" s="163">
        <v>0.4</v>
      </c>
      <c r="D221" s="164"/>
      <c r="E221" s="165">
        <v>12686.6</v>
      </c>
      <c r="F221" s="160">
        <f t="shared" si="21"/>
        <v>11798.538</v>
      </c>
      <c r="G221" s="160">
        <f t="shared" si="20"/>
        <v>888.0619999999999</v>
      </c>
      <c r="H221" s="166"/>
      <c r="I221" s="166"/>
      <c r="J221" s="166"/>
      <c r="K221" s="166"/>
      <c r="L221" s="166"/>
      <c r="M221" s="166"/>
      <c r="N221" s="166"/>
      <c r="O221" s="166"/>
      <c r="P221" s="166"/>
      <c r="Q221" s="167"/>
      <c r="R221" s="62"/>
      <c r="S221" s="62"/>
      <c r="T221" s="56"/>
      <c r="U221" s="57"/>
      <c r="V221" s="120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</row>
    <row r="222" spans="1:42" ht="19.5" hidden="1">
      <c r="A222" s="161"/>
      <c r="B222" s="162" t="s">
        <v>195</v>
      </c>
      <c r="C222" s="163">
        <v>0.84</v>
      </c>
      <c r="D222" s="164"/>
      <c r="E222" s="165">
        <v>50597.9</v>
      </c>
      <c r="F222" s="160">
        <f t="shared" si="21"/>
        <v>47056.047000000006</v>
      </c>
      <c r="G222" s="160">
        <f t="shared" si="20"/>
        <v>3541.8529999999955</v>
      </c>
      <c r="H222" s="166"/>
      <c r="I222" s="166"/>
      <c r="J222" s="166"/>
      <c r="K222" s="166"/>
      <c r="L222" s="166"/>
      <c r="M222" s="166"/>
      <c r="N222" s="166"/>
      <c r="O222" s="166"/>
      <c r="P222" s="166"/>
      <c r="Q222" s="167"/>
      <c r="R222" s="62"/>
      <c r="S222" s="62"/>
      <c r="T222" s="56"/>
      <c r="U222" s="57"/>
      <c r="V222" s="120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</row>
    <row r="223" spans="1:42" ht="19.5" hidden="1">
      <c r="A223" s="161"/>
      <c r="B223" s="162" t="s">
        <v>196</v>
      </c>
      <c r="C223" s="163">
        <v>0.57999999999999996</v>
      </c>
      <c r="D223" s="164"/>
      <c r="E223" s="165">
        <v>24116.400000000001</v>
      </c>
      <c r="F223" s="160">
        <f t="shared" si="21"/>
        <v>22428.252000000004</v>
      </c>
      <c r="G223" s="160">
        <f t="shared" si="20"/>
        <v>1688.1479999999974</v>
      </c>
      <c r="H223" s="166"/>
      <c r="I223" s="166"/>
      <c r="J223" s="166"/>
      <c r="K223" s="166"/>
      <c r="L223" s="166"/>
      <c r="M223" s="166"/>
      <c r="N223" s="166"/>
      <c r="O223" s="166"/>
      <c r="P223" s="166"/>
      <c r="Q223" s="167"/>
      <c r="R223" s="62"/>
      <c r="S223" s="62"/>
      <c r="T223" s="56"/>
      <c r="U223" s="57"/>
      <c r="V223" s="120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</row>
    <row r="224" spans="1:42" ht="37.5" hidden="1">
      <c r="A224" s="168"/>
      <c r="B224" s="169" t="s">
        <v>197</v>
      </c>
      <c r="C224" s="158">
        <v>0.2</v>
      </c>
      <c r="D224" s="159"/>
      <c r="E224" s="160">
        <v>4550</v>
      </c>
      <c r="F224" s="160">
        <f t="shared" si="21"/>
        <v>4231.5</v>
      </c>
      <c r="G224" s="160">
        <f t="shared" si="20"/>
        <v>318.5</v>
      </c>
      <c r="H224" s="59"/>
      <c r="I224" s="59"/>
      <c r="J224" s="59"/>
      <c r="K224" s="59"/>
      <c r="L224" s="59"/>
      <c r="M224" s="59"/>
      <c r="N224" s="59"/>
      <c r="O224" s="59"/>
      <c r="P224" s="59"/>
      <c r="Q224" s="61"/>
      <c r="R224" s="62"/>
      <c r="S224" s="62"/>
      <c r="T224" s="56"/>
      <c r="U224" s="57"/>
      <c r="V224" s="120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</row>
    <row r="225" spans="1:42" ht="63.75" customHeight="1">
      <c r="A225" s="185">
        <v>151</v>
      </c>
      <c r="B225" s="186" t="s">
        <v>209</v>
      </c>
      <c r="C225" s="163"/>
      <c r="D225" s="164"/>
      <c r="E225" s="165"/>
      <c r="F225" s="165"/>
      <c r="G225" s="165"/>
      <c r="H225" s="166"/>
      <c r="I225" s="69">
        <v>343</v>
      </c>
      <c r="J225" s="69">
        <v>384634.4</v>
      </c>
      <c r="K225" s="69">
        <v>357710</v>
      </c>
      <c r="L225" s="187">
        <f>J225-K225</f>
        <v>26924.400000000023</v>
      </c>
      <c r="M225" s="166"/>
      <c r="N225" s="166"/>
      <c r="O225" s="166"/>
      <c r="P225" s="166"/>
      <c r="Q225" s="167"/>
      <c r="R225" s="62"/>
      <c r="S225" s="62"/>
      <c r="T225" s="56"/>
      <c r="U225" s="57"/>
      <c r="V225" s="120"/>
      <c r="W225" s="4"/>
      <c r="X225" s="4"/>
      <c r="Y225" s="4"/>
      <c r="Z225" s="4"/>
      <c r="AA225" s="191" t="s">
        <v>16</v>
      </c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</row>
    <row r="226" spans="1:42" ht="41.25" customHeight="1">
      <c r="A226" s="185">
        <v>152</v>
      </c>
      <c r="B226" s="186" t="s">
        <v>210</v>
      </c>
      <c r="C226" s="163"/>
      <c r="D226" s="164"/>
      <c r="E226" s="165"/>
      <c r="F226" s="165"/>
      <c r="G226" s="165"/>
      <c r="H226" s="188">
        <v>0.15</v>
      </c>
      <c r="I226" s="59"/>
      <c r="J226" s="69">
        <v>44359.1</v>
      </c>
      <c r="K226" s="69">
        <v>41254</v>
      </c>
      <c r="L226" s="187">
        <f>J226-K226</f>
        <v>3105.0999999999985</v>
      </c>
      <c r="M226" s="166"/>
      <c r="N226" s="166"/>
      <c r="O226" s="166"/>
      <c r="P226" s="166"/>
      <c r="Q226" s="167"/>
      <c r="R226" s="62"/>
      <c r="S226" s="62"/>
      <c r="T226" s="56"/>
      <c r="U226" s="57"/>
      <c r="V226" s="120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</row>
    <row r="227" spans="1:42" ht="51" customHeight="1" thickBot="1">
      <c r="A227" s="170">
        <v>153</v>
      </c>
      <c r="B227" s="171" t="s">
        <v>211</v>
      </c>
      <c r="C227" s="172"/>
      <c r="D227" s="173"/>
      <c r="E227" s="174"/>
      <c r="F227" s="174"/>
      <c r="G227" s="174"/>
      <c r="H227" s="172"/>
      <c r="I227" s="174"/>
      <c r="J227" s="174"/>
      <c r="K227" s="174"/>
      <c r="L227" s="174"/>
      <c r="M227" s="175"/>
      <c r="N227" s="174">
        <v>260</v>
      </c>
      <c r="O227" s="174">
        <v>430107.5</v>
      </c>
      <c r="P227" s="174">
        <v>400000</v>
      </c>
      <c r="Q227" s="189">
        <f>O227-P227</f>
        <v>30107.5</v>
      </c>
      <c r="R227" s="62"/>
      <c r="S227" s="62"/>
      <c r="T227" s="56"/>
      <c r="U227" s="57"/>
      <c r="V227" s="120"/>
      <c r="W227" s="148">
        <v>730170.6</v>
      </c>
      <c r="X227" s="148">
        <f>W227-J227</f>
        <v>730170.6</v>
      </c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</row>
    <row r="228" spans="1:42" ht="21.75" customHeight="1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</row>
    <row r="229" spans="1:42" ht="33.75" customHeight="1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</row>
    <row r="230" spans="1:42" ht="36" customHeight="1">
      <c r="B230" s="206" t="s">
        <v>230</v>
      </c>
      <c r="C230" s="206"/>
      <c r="D230" s="206"/>
      <c r="E230" s="206"/>
      <c r="F230" s="206"/>
      <c r="G230" s="4"/>
      <c r="H230" s="4"/>
      <c r="I230" s="4"/>
      <c r="J230" s="4"/>
      <c r="K230" s="4"/>
      <c r="L230" s="4"/>
      <c r="M230" s="4"/>
      <c r="N230" s="4"/>
      <c r="O230" s="176" t="s">
        <v>231</v>
      </c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</row>
    <row r="231" spans="1:42" ht="15" customHeight="1">
      <c r="C231" s="4"/>
      <c r="D231" s="4"/>
      <c r="E231" s="177"/>
      <c r="F231" s="177"/>
      <c r="G231" s="177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</row>
    <row r="232" spans="1:42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</row>
    <row r="233" spans="1:42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</row>
    <row r="234" spans="1:42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</row>
    <row r="235" spans="1:42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</row>
    <row r="236" spans="1:42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</row>
    <row r="237" spans="1:42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</row>
    <row r="238" spans="1:42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</row>
    <row r="239" spans="1:42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</row>
    <row r="240" spans="1:42">
      <c r="G240" s="2" t="s">
        <v>93</v>
      </c>
    </row>
  </sheetData>
  <mergeCells count="25">
    <mergeCell ref="B230:F230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59055118110236227" right="0.39370078740157483" top="0.59055118110236227" bottom="0.59055118110236227" header="0.19685039370078741" footer="0.51181102362204722"/>
  <pageSetup paperSize="9" scale="50" firstPageNumber="109" fitToHeight="11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25.02.25 поправки февраль</vt:lpstr>
      <vt:lpstr>'25.02.25 поправки февраль'!Заголовки_для_печати</vt:lpstr>
      <vt:lpstr>'25.02.25 поправки февраль'!Область_печати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15</cp:revision>
  <cp:lastPrinted>2025-03-11T09:13:15Z</cp:lastPrinted>
  <dcterms:created xsi:type="dcterms:W3CDTF">2020-10-29T15:31:04Z</dcterms:created>
  <dcterms:modified xsi:type="dcterms:W3CDTF">2025-03-11T09:13:47Z</dcterms:modified>
  <dc:language>ru-RU</dc:language>
</cp:coreProperties>
</file>